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codeName="ThisWorkbook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xr:revisionPtr revIDLastSave="0" documentId="13_ncr:1_{9AB8D878-3A43-408B-A156-BFA05BC6E83E}" xr6:coauthVersionLast="44" xr6:coauthVersionMax="44" xr10:uidLastSave="{00000000-0000-0000-0000-000000000000}"/>
  <bookViews>
    <workbookView xWindow="20370" yWindow="-4800" windowWidth="29040" windowHeight="15840" tabRatio="845" firstSheet="1" activeTab="1" xr2:uid="{00000000-000D-0000-FFFF-FFFF00000000}"/>
  </bookViews>
  <sheets>
    <sheet name="SFN14334" sheetId="52" state="hidden" r:id="rId1"/>
    <sheet name="Input" sheetId="42" r:id="rId2"/>
    <sheet name="RICE Input" sheetId="48" r:id="rId3"/>
    <sheet name="Emission Summary" sheetId="2" r:id="rId4"/>
    <sheet name="OilCondensate Tanks" sheetId="25" r:id="rId5"/>
    <sheet name="Treater Flare" sheetId="44" r:id="rId6"/>
    <sheet name="Treater Burner" sheetId="22" r:id="rId7"/>
    <sheet name="Truck Loading" sheetId="39" r:id="rId8"/>
    <sheet name="RICE Engine" sheetId="18" r:id="rId9"/>
    <sheet name="Pneumatic Pump" sheetId="28" r:id="rId10"/>
    <sheet name="Pneumatic Controllers" sheetId="46" r:id="rId11"/>
    <sheet name="Drop Down Lists" sheetId="45" state="hidden" r:id="rId12"/>
  </sheets>
  <externalReferences>
    <externalReference r:id="rId13"/>
  </externalReferences>
  <definedNames>
    <definedName name="_1Emissions_Test_Form" localSheetId="10">#REF!</definedName>
    <definedName name="_1Emissions_Test_Form" localSheetId="5">#REF!</definedName>
    <definedName name="_1Emissions_Test_Form">#REF!</definedName>
    <definedName name="API" localSheetId="1">#REF!</definedName>
    <definedName name="API" localSheetId="4">#REF!</definedName>
    <definedName name="API" localSheetId="10">#REF!</definedName>
    <definedName name="API" localSheetId="9">#REF!</definedName>
    <definedName name="API" localSheetId="5">#REF!</definedName>
    <definedName name="API" localSheetId="7">#REF!</definedName>
    <definedName name="API">#REF!</definedName>
    <definedName name="Check1" localSheetId="0">'SFN14334'!#REF!</definedName>
    <definedName name="Company" localSheetId="1">[1]HTR201!#REF!</definedName>
    <definedName name="Company" localSheetId="10">[1]HTR201!#REF!</definedName>
    <definedName name="Company" localSheetId="5">[1]HTR201!#REF!</definedName>
    <definedName name="Company" localSheetId="7">[1]HTR201!#REF!</definedName>
    <definedName name="Company">[1]HTR201!#REF!</definedName>
    <definedName name="CONTAM" localSheetId="1">#REF!</definedName>
    <definedName name="CONTAM" localSheetId="10">#REF!</definedName>
    <definedName name="CONTAM" localSheetId="5">#REF!</definedName>
    <definedName name="CONTAM" localSheetId="7">#REF!</definedName>
    <definedName name="CONTAM">#REF!</definedName>
    <definedName name="CONTAM1" localSheetId="1">#REF!</definedName>
    <definedName name="CONTAM1" localSheetId="10">#REF!</definedName>
    <definedName name="CONTAM1" localSheetId="5">#REF!</definedName>
    <definedName name="CONTAM1" localSheetId="7">#REF!</definedName>
    <definedName name="CONTAM1">#REF!</definedName>
    <definedName name="d" localSheetId="1">#REF!</definedName>
    <definedName name="d" localSheetId="10">#REF!</definedName>
    <definedName name="d" localSheetId="5">#REF!</definedName>
    <definedName name="d">#REF!</definedName>
    <definedName name="Date" localSheetId="1">[1]HTR201!#REF!</definedName>
    <definedName name="Date" localSheetId="10">[1]HTR201!#REF!</definedName>
    <definedName name="Date" localSheetId="5">[1]HTR201!#REF!</definedName>
    <definedName name="Date" localSheetId="7">[1]HTR201!#REF!</definedName>
    <definedName name="Date">[1]HTR201!#REF!</definedName>
    <definedName name="FIN" localSheetId="1">#REF!</definedName>
    <definedName name="FIN" localSheetId="10">#REF!</definedName>
    <definedName name="FIN" localSheetId="5">#REF!</definedName>
    <definedName name="FIN">#REF!</definedName>
    <definedName name="Flash_Calculation_Method">'Drop Down Lists'!$A$5:$A$7</definedName>
    <definedName name="FNAME" localSheetId="1">#REF!</definedName>
    <definedName name="FNAME" localSheetId="10">#REF!</definedName>
    <definedName name="FNAME" localSheetId="5">#REF!</definedName>
    <definedName name="FNAME">#REF!</definedName>
    <definedName name="ModeofOperation">'Drop Down Lists'!$A$2:$A$4</definedName>
    <definedName name="MW" localSheetId="10">#REF!</definedName>
    <definedName name="MW" localSheetId="5">#REF!</definedName>
    <definedName name="MW">#REF!</definedName>
    <definedName name="Oil_Sales_Method">'Drop Down Lists'!$A$24:$A$25</definedName>
    <definedName name="Pi" localSheetId="1">#REF!</definedName>
    <definedName name="Pi" localSheetId="4">#REF!</definedName>
    <definedName name="Pi" localSheetId="10">#REF!</definedName>
    <definedName name="Pi" localSheetId="9">#REF!</definedName>
    <definedName name="Pi" localSheetId="5">#REF!</definedName>
    <definedName name="Pi" localSheetId="7">#REF!</definedName>
    <definedName name="Pi">#REF!</definedName>
    <definedName name="pressure" localSheetId="1">#REF!</definedName>
    <definedName name="pressure" localSheetId="4">#REF!</definedName>
    <definedName name="pressure" localSheetId="10">#REF!</definedName>
    <definedName name="pressure" localSheetId="9">#REF!</definedName>
    <definedName name="pressure" localSheetId="5">#REF!</definedName>
    <definedName name="pressure" localSheetId="7">#REF!</definedName>
    <definedName name="pressure">#REF!</definedName>
    <definedName name="_xlnm.Print_Area" localSheetId="3">'Emission Summary'!$A$1:$S$37</definedName>
    <definedName name="_xlnm.Print_Area" localSheetId="1">Input!$A$1:$E$68</definedName>
    <definedName name="_xlnm.Print_Area" localSheetId="4">'OilCondensate Tanks'!$A$1:$T$47</definedName>
    <definedName name="_xlnm.Print_Area" localSheetId="10">'Pneumatic Controllers'!$A$1:$N$26</definedName>
    <definedName name="_xlnm.Print_Area" localSheetId="9">'Pneumatic Pump'!$A$1:$O$38</definedName>
    <definedName name="_xlnm.Print_Area" localSheetId="8">'RICE Engine'!$A$1:$X$123</definedName>
    <definedName name="_xlnm.Print_Area" localSheetId="2">'RICE Input'!$A$1:$O$114</definedName>
    <definedName name="_xlnm.Print_Area" localSheetId="6">'Treater Burner'!$A$1:$Q$43</definedName>
    <definedName name="_xlnm.Print_Area" localSheetId="5">'Treater Flare'!$A$1:$S$61</definedName>
    <definedName name="_xlnm.Print_Area" localSheetId="7">'Truck Loading'!$A$1:$M$31</definedName>
    <definedName name="Rs" localSheetId="10">#REF!</definedName>
    <definedName name="Rs" localSheetId="5">#REF!</definedName>
    <definedName name="Rs">#REF!</definedName>
    <definedName name="SGi" localSheetId="10">#REF!</definedName>
    <definedName name="SGi" localSheetId="5">#REF!</definedName>
    <definedName name="SGi">#REF!</definedName>
    <definedName name="Tank_Vapor_Control">'Drop Down Lists'!$A$8:$A$11</definedName>
    <definedName name="Ti" localSheetId="10">#REF!</definedName>
    <definedName name="Ti" localSheetId="5">#REF!</definedName>
    <definedName name="Ti">#REF!</definedName>
    <definedName name="Trace_Pump_Emission_Control">'Drop Down Lists'!$A$15:$A$16</definedName>
    <definedName name="Treater_Gas_Controls">'Drop Down Lists'!$A$19:$A$22</definedName>
    <definedName name="Voc" localSheetId="10">#REF!</definedName>
    <definedName name="Voc" localSheetId="5">#REF!</definedName>
    <definedName name="Voc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55" i="44" l="1"/>
  <c r="M41" i="25"/>
  <c r="C8" i="44"/>
  <c r="C17" i="42"/>
  <c r="C16" i="42"/>
  <c r="C20" i="42"/>
  <c r="C29" i="42" l="1"/>
  <c r="P17" i="25" s="1"/>
  <c r="C41" i="42" l="1"/>
  <c r="M17" i="44" s="1"/>
  <c r="O20" i="25" l="1"/>
  <c r="O27" i="25"/>
  <c r="M34" i="44" l="1"/>
  <c r="M27" i="44"/>
  <c r="M20" i="44"/>
  <c r="M41" i="44"/>
  <c r="E16" i="2" l="1"/>
  <c r="I44" i="28"/>
  <c r="I40" i="28"/>
  <c r="G28" i="46"/>
  <c r="G32" i="46"/>
  <c r="B14" i="46"/>
  <c r="C114" i="18"/>
  <c r="C112" i="18"/>
  <c r="C110" i="18"/>
  <c r="C103" i="18"/>
  <c r="C101" i="18"/>
  <c r="C99" i="18"/>
  <c r="C92" i="18"/>
  <c r="C90" i="18"/>
  <c r="C88" i="18"/>
  <c r="C81" i="18"/>
  <c r="C79" i="18"/>
  <c r="C77" i="18"/>
  <c r="C70" i="18"/>
  <c r="C68" i="18"/>
  <c r="C66" i="18"/>
  <c r="C59" i="18"/>
  <c r="C57" i="18"/>
  <c r="C55" i="18"/>
  <c r="C48" i="18"/>
  <c r="C46" i="18"/>
  <c r="C44" i="18"/>
  <c r="C37" i="18"/>
  <c r="C35" i="18"/>
  <c r="C33" i="18"/>
  <c r="C26" i="18"/>
  <c r="C24" i="18"/>
  <c r="C22" i="18"/>
  <c r="I18" i="46"/>
  <c r="C7" i="48"/>
  <c r="O11" i="18" s="1"/>
  <c r="C106" i="48"/>
  <c r="O110" i="18" s="1"/>
  <c r="O112" i="18" s="1"/>
  <c r="C96" i="48"/>
  <c r="O99" i="18" s="1"/>
  <c r="O101" i="18" s="1"/>
  <c r="C86" i="48"/>
  <c r="O88" i="18" s="1"/>
  <c r="C76" i="48"/>
  <c r="O77" i="18" s="1"/>
  <c r="O79" i="18" s="1"/>
  <c r="C66" i="48"/>
  <c r="O66" i="18" s="1"/>
  <c r="O68" i="18" s="1"/>
  <c r="C47" i="48"/>
  <c r="O55" i="18" s="1"/>
  <c r="O57" i="18" s="1"/>
  <c r="C37" i="48"/>
  <c r="O44" i="18" s="1"/>
  <c r="C27" i="48"/>
  <c r="O33" i="18" s="1"/>
  <c r="O35" i="18" s="1"/>
  <c r="C17" i="48"/>
  <c r="O22" i="18" s="1"/>
  <c r="G27" i="2"/>
  <c r="N33" i="28"/>
  <c r="I19" i="28"/>
  <c r="B15" i="28"/>
  <c r="K108" i="18"/>
  <c r="K109" i="18" s="1"/>
  <c r="I108" i="18"/>
  <c r="I109" i="18" s="1"/>
  <c r="F108" i="18"/>
  <c r="F109" i="18" s="1"/>
  <c r="C108" i="18"/>
  <c r="G110" i="18" s="1"/>
  <c r="K97" i="18"/>
  <c r="K98" i="18" s="1"/>
  <c r="I97" i="18"/>
  <c r="I98" i="18" s="1"/>
  <c r="F97" i="18"/>
  <c r="F98" i="18" s="1"/>
  <c r="C97" i="18"/>
  <c r="G103" i="18" s="1"/>
  <c r="K86" i="18"/>
  <c r="K87" i="18" s="1"/>
  <c r="I86" i="18"/>
  <c r="I87" i="18" s="1"/>
  <c r="F86" i="18"/>
  <c r="F87" i="18" s="1"/>
  <c r="C86" i="18"/>
  <c r="G90" i="18" s="1"/>
  <c r="K75" i="18"/>
  <c r="K76" i="18" s="1"/>
  <c r="I75" i="18"/>
  <c r="I76" i="18" s="1"/>
  <c r="F75" i="18"/>
  <c r="F76" i="18" s="1"/>
  <c r="C75" i="18"/>
  <c r="G81" i="18" s="1"/>
  <c r="K64" i="18"/>
  <c r="K65" i="18" s="1"/>
  <c r="I64" i="18"/>
  <c r="I65" i="18" s="1"/>
  <c r="F64" i="18"/>
  <c r="F65" i="18" s="1"/>
  <c r="C64" i="18"/>
  <c r="G66" i="18" s="1"/>
  <c r="K53" i="18"/>
  <c r="K54" i="18" s="1"/>
  <c r="I53" i="18"/>
  <c r="I54" i="18" s="1"/>
  <c r="F53" i="18"/>
  <c r="F54" i="18" s="1"/>
  <c r="C53" i="18"/>
  <c r="G57" i="18" s="1"/>
  <c r="K42" i="18"/>
  <c r="K43" i="18" s="1"/>
  <c r="I42" i="18"/>
  <c r="I43" i="18" s="1"/>
  <c r="F42" i="18"/>
  <c r="F43" i="18" s="1"/>
  <c r="C42" i="18"/>
  <c r="G44" i="18" s="1"/>
  <c r="K31" i="18"/>
  <c r="K32" i="18" s="1"/>
  <c r="I31" i="18"/>
  <c r="I32" i="18" s="1"/>
  <c r="F31" i="18"/>
  <c r="F32" i="18" s="1"/>
  <c r="C31" i="18"/>
  <c r="G33" i="18" s="1"/>
  <c r="K20" i="18"/>
  <c r="K21" i="18" s="1"/>
  <c r="I20" i="18"/>
  <c r="I21" i="18" s="1"/>
  <c r="F20" i="18"/>
  <c r="F21" i="18" s="1"/>
  <c r="C20" i="18"/>
  <c r="G24" i="18" s="1"/>
  <c r="C9" i="18"/>
  <c r="K9" i="18"/>
  <c r="K10" i="18" s="1"/>
  <c r="I9" i="18"/>
  <c r="I10" i="18" s="1"/>
  <c r="F9" i="18"/>
  <c r="F10" i="18" s="1"/>
  <c r="C15" i="18"/>
  <c r="C13" i="18"/>
  <c r="C11" i="18"/>
  <c r="O26" i="18" l="1"/>
  <c r="O24" i="18"/>
  <c r="G79" i="18"/>
  <c r="L79" i="18" s="1"/>
  <c r="T79" i="18" s="1"/>
  <c r="O92" i="18"/>
  <c r="O90" i="18"/>
  <c r="G77" i="18"/>
  <c r="L77" i="18" s="1"/>
  <c r="T77" i="18" s="1"/>
  <c r="G37" i="18"/>
  <c r="L37" i="18" s="1"/>
  <c r="G101" i="18"/>
  <c r="L101" i="18" s="1"/>
  <c r="T101" i="18" s="1"/>
  <c r="O114" i="18"/>
  <c r="G114" i="18"/>
  <c r="L114" i="18" s="1"/>
  <c r="G112" i="18"/>
  <c r="L112" i="18" s="1"/>
  <c r="T112" i="18" s="1"/>
  <c r="L81" i="18"/>
  <c r="G70" i="18"/>
  <c r="L70" i="18" s="1"/>
  <c r="G59" i="18"/>
  <c r="L59" i="18" s="1"/>
  <c r="G55" i="18"/>
  <c r="L55" i="18" s="1"/>
  <c r="T55" i="18" s="1"/>
  <c r="G48" i="18"/>
  <c r="L48" i="18" s="1"/>
  <c r="L44" i="18"/>
  <c r="T44" i="18" s="1"/>
  <c r="G46" i="18"/>
  <c r="L46" i="18" s="1"/>
  <c r="O103" i="18"/>
  <c r="O59" i="18"/>
  <c r="O46" i="18"/>
  <c r="O37" i="18"/>
  <c r="L110" i="18"/>
  <c r="T110" i="18" s="1"/>
  <c r="L103" i="18"/>
  <c r="L66" i="18"/>
  <c r="T66" i="18" s="1"/>
  <c r="L33" i="18"/>
  <c r="T33" i="18" s="1"/>
  <c r="O81" i="18"/>
  <c r="O70" i="18"/>
  <c r="G99" i="18"/>
  <c r="L99" i="18" s="1"/>
  <c r="T99" i="18" s="1"/>
  <c r="L90" i="18"/>
  <c r="G88" i="18"/>
  <c r="L88" i="18" s="1"/>
  <c r="T88" i="18" s="1"/>
  <c r="G92" i="18"/>
  <c r="L92" i="18" s="1"/>
  <c r="G68" i="18"/>
  <c r="L68" i="18" s="1"/>
  <c r="T68" i="18" s="1"/>
  <c r="O48" i="18"/>
  <c r="L57" i="18"/>
  <c r="T57" i="18" s="1"/>
  <c r="G35" i="18"/>
  <c r="L35" i="18" s="1"/>
  <c r="T35" i="18" s="1"/>
  <c r="L24" i="18"/>
  <c r="G22" i="18"/>
  <c r="L22" i="18" s="1"/>
  <c r="T22" i="18" s="1"/>
  <c r="G26" i="18"/>
  <c r="L26" i="18" s="1"/>
  <c r="T26" i="18" l="1"/>
  <c r="T90" i="18"/>
  <c r="T24" i="18"/>
  <c r="T92" i="18"/>
  <c r="T114" i="18"/>
  <c r="T48" i="18"/>
  <c r="T81" i="18"/>
  <c r="T70" i="18"/>
  <c r="T59" i="18"/>
  <c r="T103" i="18"/>
  <c r="T46" i="18"/>
  <c r="T37" i="18"/>
  <c r="G28" i="2"/>
  <c r="Q26" i="2"/>
  <c r="C2" i="18" l="1"/>
  <c r="G11" i="18"/>
  <c r="L11" i="18" l="1"/>
  <c r="T11" i="18" s="1"/>
  <c r="T118" i="18" s="1"/>
  <c r="G13" i="18"/>
  <c r="G15" i="18"/>
  <c r="B24" i="22" l="1"/>
  <c r="E14" i="22"/>
  <c r="B30" i="22"/>
  <c r="B18" i="22"/>
  <c r="B12" i="22"/>
  <c r="G16" i="2" l="1"/>
  <c r="D21" i="39"/>
  <c r="F21" i="39" s="1"/>
  <c r="C60" i="42"/>
  <c r="N31" i="28" s="1"/>
  <c r="K41" i="44"/>
  <c r="K34" i="44"/>
  <c r="B20" i="44"/>
  <c r="B2" i="46"/>
  <c r="B2" i="28"/>
  <c r="B2" i="39"/>
  <c r="B2" i="22"/>
  <c r="B2" i="44"/>
  <c r="B2" i="25"/>
  <c r="C3" i="2"/>
  <c r="B21" i="46"/>
  <c r="K21" i="46"/>
  <c r="I25" i="46"/>
  <c r="K14" i="46"/>
  <c r="I14" i="46"/>
  <c r="C49" i="42"/>
  <c r="D8" i="39" s="1"/>
  <c r="I21" i="46" l="1"/>
  <c r="M21" i="46" s="1"/>
  <c r="M14" i="46"/>
  <c r="G18" i="46" s="1"/>
  <c r="M18" i="44"/>
  <c r="E30" i="2"/>
  <c r="B41" i="44"/>
  <c r="B48" i="44"/>
  <c r="B55" i="44"/>
  <c r="B27" i="44"/>
  <c r="B34" i="44"/>
  <c r="E32" i="22"/>
  <c r="G25" i="46" l="1"/>
  <c r="M25" i="46" s="1"/>
  <c r="I32" i="46" s="1"/>
  <c r="M18" i="46"/>
  <c r="G30" i="2"/>
  <c r="N18" i="44"/>
  <c r="P18" i="25"/>
  <c r="C14" i="44"/>
  <c r="K23" i="28"/>
  <c r="M32" i="46" l="1"/>
  <c r="G15" i="2" s="1"/>
  <c r="I28" i="46"/>
  <c r="M28" i="46"/>
  <c r="E15" i="2" s="1"/>
  <c r="O41" i="44"/>
  <c r="E44" i="44" s="1"/>
  <c r="O44" i="44" s="1"/>
  <c r="Q10" i="2" s="1"/>
  <c r="Q18" i="2" s="1"/>
  <c r="C16" i="44"/>
  <c r="K27" i="44" s="1"/>
  <c r="K20" i="44"/>
  <c r="C12" i="44"/>
  <c r="C10" i="44"/>
  <c r="E48" i="44" s="1"/>
  <c r="N48" i="44" s="1"/>
  <c r="C16" i="25"/>
  <c r="M27" i="25" s="1"/>
  <c r="B23" i="28"/>
  <c r="F12" i="39"/>
  <c r="D12" i="39"/>
  <c r="J8" i="39"/>
  <c r="E26" i="22"/>
  <c r="E20" i="22"/>
  <c r="D8" i="22"/>
  <c r="E12" i="22" s="1"/>
  <c r="C14" i="25"/>
  <c r="M20" i="25" s="1"/>
  <c r="C12" i="25"/>
  <c r="H20" i="25" s="1"/>
  <c r="C10" i="25"/>
  <c r="E41" i="25" s="1"/>
  <c r="H8" i="39"/>
  <c r="F8" i="39"/>
  <c r="I15" i="28"/>
  <c r="I23" i="28" s="1"/>
  <c r="K15" i="28"/>
  <c r="I27" i="28"/>
  <c r="J12" i="22" l="1"/>
  <c r="B14" i="22" s="1"/>
  <c r="J14" i="22" s="1"/>
  <c r="N36" i="22" s="1"/>
  <c r="I11" i="2" s="1"/>
  <c r="L15" i="18"/>
  <c r="L13" i="18"/>
  <c r="H20" i="44"/>
  <c r="O20" i="44" s="1"/>
  <c r="O34" i="44"/>
  <c r="C8" i="25"/>
  <c r="O15" i="18"/>
  <c r="M23" i="28"/>
  <c r="G27" i="28" s="1"/>
  <c r="M27" i="28" s="1"/>
  <c r="N37" i="28" s="1"/>
  <c r="K44" i="28" s="1"/>
  <c r="O44" i="28" s="1"/>
  <c r="G14" i="2" s="1"/>
  <c r="E55" i="44"/>
  <c r="N55" i="44" s="1"/>
  <c r="D16" i="39"/>
  <c r="H27" i="25"/>
  <c r="E18" i="22"/>
  <c r="E24" i="22"/>
  <c r="J24" i="22" s="1"/>
  <c r="B26" i="22" s="1"/>
  <c r="J26" i="22" s="1"/>
  <c r="N40" i="22" s="1"/>
  <c r="H27" i="44"/>
  <c r="O27" i="44" s="1"/>
  <c r="E34" i="25"/>
  <c r="L8" i="39"/>
  <c r="B16" i="39" s="1"/>
  <c r="M15" i="28"/>
  <c r="G19" i="28" s="1"/>
  <c r="O13" i="18"/>
  <c r="T13" i="18" l="1"/>
  <c r="T120" i="18" s="1"/>
  <c r="T15" i="18"/>
  <c r="T122" i="18" s="1"/>
  <c r="E30" i="22"/>
  <c r="J18" i="22"/>
  <c r="B20" i="22" s="1"/>
  <c r="J20" i="22" s="1"/>
  <c r="N38" i="22" s="1"/>
  <c r="M11" i="2" s="1"/>
  <c r="E37" i="44"/>
  <c r="O37" i="44" s="1"/>
  <c r="O10" i="2" s="1"/>
  <c r="B41" i="25"/>
  <c r="P41" i="25" s="1"/>
  <c r="E44" i="25" s="1"/>
  <c r="P44" i="25" s="1"/>
  <c r="M9" i="2" s="1"/>
  <c r="B20" i="25"/>
  <c r="B27" i="25"/>
  <c r="B34" i="25"/>
  <c r="P34" i="25" s="1"/>
  <c r="E37" i="25" s="1"/>
  <c r="P37" i="25" s="1"/>
  <c r="I9" i="2" s="1"/>
  <c r="E11" i="2"/>
  <c r="M19" i="28"/>
  <c r="N35" i="28" s="1"/>
  <c r="K40" i="28" s="1"/>
  <c r="O40" i="28" s="1"/>
  <c r="E14" i="2" s="1"/>
  <c r="E58" i="44"/>
  <c r="N58" i="44" s="1"/>
  <c r="N59" i="44" s="1"/>
  <c r="M10" i="2" s="1"/>
  <c r="J16" i="39"/>
  <c r="L16" i="39" s="1"/>
  <c r="B12" i="39"/>
  <c r="J12" i="39" s="1"/>
  <c r="E12" i="2" l="1"/>
  <c r="Q20" i="25"/>
  <c r="E23" i="25" s="1"/>
  <c r="Q23" i="25" s="1"/>
  <c r="Q27" i="25"/>
  <c r="E30" i="25" s="1"/>
  <c r="Q30" i="25" s="1"/>
  <c r="G9" i="2" s="1"/>
  <c r="J30" i="22"/>
  <c r="B32" i="22" s="1"/>
  <c r="J32" i="22" s="1"/>
  <c r="N42" i="22" s="1"/>
  <c r="G11" i="2" s="1"/>
  <c r="O18" i="2"/>
  <c r="B21" i="39"/>
  <c r="H21" i="39" s="1"/>
  <c r="E13" i="2" s="1"/>
  <c r="E51" i="44"/>
  <c r="N51" i="44" s="1"/>
  <c r="N52" i="44" s="1"/>
  <c r="I10" i="2" s="1"/>
  <c r="E30" i="44"/>
  <c r="O30" i="44" s="1"/>
  <c r="G10" i="2" s="1"/>
  <c r="E23" i="44"/>
  <c r="O23" i="44" l="1"/>
  <c r="E10" i="2" s="1"/>
  <c r="E9" i="2"/>
  <c r="I27" i="2" s="1"/>
  <c r="I12" i="2"/>
  <c r="E29" i="2"/>
  <c r="G29" i="2" s="1"/>
  <c r="G18" i="2"/>
  <c r="E18" i="2" l="1"/>
  <c r="O32" i="2" s="1"/>
  <c r="Q32" i="2" s="1"/>
  <c r="M12" i="2"/>
  <c r="M18" i="2" s="1"/>
  <c r="I18" i="2"/>
  <c r="O29" i="2" l="1"/>
  <c r="Q29" i="2" s="1"/>
</calcChain>
</file>

<file path=xl/sharedStrings.xml><?xml version="1.0" encoding="utf-8"?>
<sst xmlns="http://schemas.openxmlformats.org/spreadsheetml/2006/main" count="1393" uniqueCount="398">
  <si>
    <t>=</t>
  </si>
  <si>
    <t>lb/hr</t>
  </si>
  <si>
    <t>x</t>
  </si>
  <si>
    <t>Truck Loadout Emission Calculation</t>
  </si>
  <si>
    <t>Saturation</t>
  </si>
  <si>
    <t>Vapor</t>
  </si>
  <si>
    <t>Temp +</t>
  </si>
  <si>
    <t>Load Loss</t>
  </si>
  <si>
    <t>lb/1000 gal</t>
  </si>
  <si>
    <t>/</t>
  </si>
  <si>
    <t>LL</t>
  </si>
  <si>
    <t>Truck Load</t>
  </si>
  <si>
    <t>Load Time</t>
  </si>
  <si>
    <t>lb/1,000 gal</t>
  </si>
  <si>
    <t>Rate bbl/hr</t>
  </si>
  <si>
    <t>gal/bbl</t>
  </si>
  <si>
    <t>Annual</t>
  </si>
  <si>
    <t>Emissions</t>
  </si>
  <si>
    <t>lb/ton</t>
  </si>
  <si>
    <t>TPY</t>
  </si>
  <si>
    <t>Cargo Carrier</t>
  </si>
  <si>
    <t>Mode of Operation</t>
  </si>
  <si>
    <t>S Factor</t>
  </si>
  <si>
    <t>Tank Trucks and Rail Tank Cars</t>
  </si>
  <si>
    <t>Submerged loading of a clean cargo tank</t>
  </si>
  <si>
    <t>Submerged loading: dedicated normal service</t>
  </si>
  <si>
    <t>Submerged loading: dedicated vapor balance service</t>
  </si>
  <si>
    <t>Where:</t>
  </si>
  <si>
    <t>lbs/hr</t>
  </si>
  <si>
    <t>2000 lbs/ton</t>
  </si>
  <si>
    <t>lb/hr VOC</t>
  </si>
  <si>
    <t>TPY VOC</t>
  </si>
  <si>
    <t>Hours</t>
  </si>
  <si>
    <t>Supply Gas MW</t>
  </si>
  <si>
    <t>VOC wt fraction</t>
  </si>
  <si>
    <t>Burner Rating</t>
  </si>
  <si>
    <t>Btu/hr</t>
  </si>
  <si>
    <t>hr/yr</t>
  </si>
  <si>
    <t>CO:</t>
  </si>
  <si>
    <t>hrs</t>
  </si>
  <si>
    <t>Facility:</t>
  </si>
  <si>
    <t>Btu/scf</t>
  </si>
  <si>
    <t>scf/hr</t>
  </si>
  <si>
    <t>1 Mmbtu/1,000,000 Btu</t>
  </si>
  <si>
    <t>CO</t>
  </si>
  <si>
    <t>VOC:</t>
  </si>
  <si>
    <t>Flare Gas Volume</t>
  </si>
  <si>
    <t>lb/lb-mole</t>
  </si>
  <si>
    <t>VOC</t>
  </si>
  <si>
    <t>1 ton/2000 lb</t>
  </si>
  <si>
    <t>8760 hr/yr</t>
  </si>
  <si>
    <t>Uncontrolled</t>
  </si>
  <si>
    <t>NOx:</t>
  </si>
  <si>
    <t>NOx</t>
  </si>
  <si>
    <t>g/HP-HR</t>
  </si>
  <si>
    <t>HP</t>
  </si>
  <si>
    <t>1 ton / 2000lb</t>
  </si>
  <si>
    <t>lb/MMBtu</t>
  </si>
  <si>
    <t>MAX HP</t>
  </si>
  <si>
    <t>Heater Treater Burner</t>
  </si>
  <si>
    <t>(winter months)</t>
  </si>
  <si>
    <t>HAP</t>
  </si>
  <si>
    <t>Treater Flare</t>
  </si>
  <si>
    <t>Treater Burner</t>
  </si>
  <si>
    <t>Truck Loading</t>
  </si>
  <si>
    <t>Decline Factor</t>
  </si>
  <si>
    <t>RICE Engine</t>
  </si>
  <si>
    <t>Pneumatic Pump</t>
  </si>
  <si>
    <t>Production Data</t>
  </si>
  <si>
    <t>VOC%</t>
  </si>
  <si>
    <t>HAP%</t>
  </si>
  <si>
    <t>Treater Gas Data</t>
  </si>
  <si>
    <t>CO g/hp-hr</t>
  </si>
  <si>
    <t>Hours of Operation</t>
  </si>
  <si>
    <t>Load Time (hrs)</t>
  </si>
  <si>
    <t>NA</t>
  </si>
  <si>
    <t>Totals (TPY)</t>
  </si>
  <si>
    <t>Control Efficiency</t>
  </si>
  <si>
    <t>HAP wt fraction</t>
  </si>
  <si>
    <t>NOx g/hp-hr</t>
  </si>
  <si>
    <t>NOx Control Efficiency</t>
  </si>
  <si>
    <t>CO Control Efficiency</t>
  </si>
  <si>
    <t>VOC Control Efficiency</t>
  </si>
  <si>
    <t>PSCR = Pneumatic Source Consumption Rate (scf/min), as per manufacturers literature</t>
  </si>
  <si>
    <t>Maximum HP Rating</t>
  </si>
  <si>
    <t>Temperature of bulk liquid loaded in Farenheit. If no site specific data is available, use an estimated average annual temperature.</t>
  </si>
  <si>
    <t>Hours the pump is in operation annually. For winter months only, please enter 4380 hours.</t>
  </si>
  <si>
    <t>The time it takes to loadout one load (hrs).</t>
  </si>
  <si>
    <t>Load rate of liquid loaded in barrels per hour.</t>
  </si>
  <si>
    <t>Control efficiency of any applicable controls (combustor, routing exhaust to fuel supply, VRU, etc).</t>
  </si>
  <si>
    <t>Emissions from Pneumatic Pumps</t>
  </si>
  <si>
    <t>lb/hr HAP</t>
  </si>
  <si>
    <t>TPY HAP</t>
  </si>
  <si>
    <t>Estimated Tank Vapors (scfd)</t>
  </si>
  <si>
    <t>HAP:</t>
  </si>
  <si>
    <t>Use the drop down list to choose the appropriate mode of operation. The saturation factor will automatically be selected based on mode of operation.</t>
  </si>
  <si>
    <t>Mode of Operation List</t>
  </si>
  <si>
    <t>Pneumatic Controllers</t>
  </si>
  <si>
    <t>Number of Pumps</t>
  </si>
  <si>
    <t>Number of pneumatic pumps at facility.</t>
  </si>
  <si>
    <t>Number of pneumatic controllers at facility.</t>
  </si>
  <si>
    <t>Emissions from Pneumatic Controllers</t>
  </si>
  <si>
    <t>Pneumatic Pumps</t>
  </si>
  <si>
    <t>Number of Pneumatic Controllers</t>
  </si>
  <si>
    <t>Number of Pneumatic Pumps</t>
  </si>
  <si>
    <t>Oil/Condensate Tanks</t>
  </si>
  <si>
    <t>Registration Packet</t>
  </si>
  <si>
    <t>YES/NO</t>
  </si>
  <si>
    <t>YES</t>
  </si>
  <si>
    <t>Due Date</t>
  </si>
  <si>
    <t>Title V Permit</t>
  </si>
  <si>
    <t>PSD Permit</t>
  </si>
  <si>
    <t>Control Destruction Efficiency</t>
  </si>
  <si>
    <t>Enclosed Smokeless Combustor</t>
  </si>
  <si>
    <t>Ground Pit Flare</t>
  </si>
  <si>
    <t>Use the drop down menu to choose the appropriate emission control type.</t>
  </si>
  <si>
    <t>scfd</t>
  </si>
  <si>
    <t>Description</t>
  </si>
  <si>
    <t>Emission Control Requirements</t>
  </si>
  <si>
    <t>Flash Gas Method: Representative Average</t>
  </si>
  <si>
    <t>Utility Flare or Other 98% DRE Device</t>
  </si>
  <si>
    <t>Vapor Recovery Unit or Oil Stabilizer</t>
  </si>
  <si>
    <t>NOx control efficiency of any applicable controls (NSCR catalyst, AFRC, etc) obtained from manufacturer data or actual test results.</t>
  </si>
  <si>
    <t>CO control efficiency of any applicable controls (NSCR catalyst, AFRC, etc) obtained from manufacturer data or actual test results.</t>
  </si>
  <si>
    <t>VOC control efficiency of any applicable controls (NSCR catalyst, AFRC, etc) obtained from manufacturer data or actual test results.</t>
  </si>
  <si>
    <t>Routed exhaust back into closed loop system</t>
  </si>
  <si>
    <t>Routed exhaust to a combustion device</t>
  </si>
  <si>
    <t>Connected to sales line</t>
  </si>
  <si>
    <t>Oil is hauled by truck</t>
  </si>
  <si>
    <t>Oil is sold through LACT</t>
  </si>
  <si>
    <t>Control %</t>
  </si>
  <si>
    <t>Glycol Dehydrator</t>
  </si>
  <si>
    <t>VOC (TPY)</t>
  </si>
  <si>
    <t>HAP (TPY)</t>
  </si>
  <si>
    <t>Lower Heating Value</t>
  </si>
  <si>
    <t>Load Rate (bbl/hr)</t>
  </si>
  <si>
    <t>Engine is assumed to operate 8,760 hours per year.</t>
  </si>
  <si>
    <t>Manufacturer's emission factor, actual test results or AP-42 factor in grams per horsepower hour (g/hp-hr) for nitrogen oxides (NOx).</t>
  </si>
  <si>
    <t>Manufacturer's emission factor, actual test results or AP-42 factor in g/hp-hr for carbon monoxide (CO).</t>
  </si>
  <si>
    <t>Pneumatic source consumption rate as per manufacturer data (scf/min).</t>
  </si>
  <si>
    <t>Molecular Weight</t>
  </si>
  <si>
    <t>This is the calculated BOPD expected to be produced using the above entered decline factor.</t>
  </si>
  <si>
    <t>Control efficiency of any applicable controls.  This is a fixed number based on control type.</t>
  </si>
  <si>
    <t>Manufacturer's emission factor, actual test results or AP-42 factor in g/hp-hr for total organic compounds (TOC or THC).</t>
  </si>
  <si>
    <t>Average daily production in barrels of oil per day (BOPD), based on the first 30 days of production.</t>
  </si>
  <si>
    <t>Average daily production of gas in Mscf per day, based on the first 30 days of production.</t>
  </si>
  <si>
    <t>1 MMBtu/1,000,000 Btu</t>
  </si>
  <si>
    <t>VOC wt Fraction</t>
  </si>
  <si>
    <t>HAP wt Fraction</t>
  </si>
  <si>
    <t>Controlled emissions are calculated based on a</t>
  </si>
  <si>
    <t>MMBtu/hr</t>
  </si>
  <si>
    <t>1 ton / 2000 lb</t>
  </si>
  <si>
    <t>bbl/yr</t>
  </si>
  <si>
    <t>NOx DRE</t>
  </si>
  <si>
    <t>CO DRE</t>
  </si>
  <si>
    <t>VOC DRE</t>
  </si>
  <si>
    <t>1 lb / 453.6 grams</t>
  </si>
  <si>
    <t xml:space="preserve">Reciprocating Engine Emissions </t>
  </si>
  <si>
    <t>scfm/min</t>
  </si>
  <si>
    <t>60 min/1 hr</t>
  </si>
  <si>
    <t>Nitrogen Oxides (NOx) and Carbon Monoxide (CO) from Natural Gas Combustion).</t>
  </si>
  <si>
    <t>N/A</t>
  </si>
  <si>
    <t>scf/day</t>
  </si>
  <si>
    <t>NOx TPY</t>
  </si>
  <si>
    <t>CO TPY</t>
  </si>
  <si>
    <t>VOC TPY</t>
  </si>
  <si>
    <t>HAP TPY</t>
  </si>
  <si>
    <t>Factor (S)</t>
  </si>
  <si>
    <t>Pressure (P)</t>
  </si>
  <si>
    <t>(EPA AP-42 Values) Table 1 below is required to supply the saturation factor variable in the above equation.</t>
  </si>
  <si>
    <t>Molecular</t>
  </si>
  <si>
    <t>Weight (MW)</t>
  </si>
  <si>
    <t>Average molecular weight of the wellstream gas in lb/lb-mole.</t>
  </si>
  <si>
    <t>VOC g/hp-hr</t>
  </si>
  <si>
    <t xml:space="preserve">    PTE (TPY)</t>
  </si>
  <si>
    <t>Emission Source</t>
  </si>
  <si>
    <t xml:space="preserve">Controls Required </t>
  </si>
  <si>
    <t>Tanks</t>
  </si>
  <si>
    <t>Avg. Molecular Weight</t>
  </si>
  <si>
    <t>Gas MW = Supply Gas Average Molecular Weight (lb/lb-mole)</t>
  </si>
  <si>
    <t>RICE Engine #1</t>
  </si>
  <si>
    <t>RICE Engine #2</t>
  </si>
  <si>
    <t>Manufacturer's maximum hp rating.</t>
  </si>
  <si>
    <t>ENGINE #1</t>
  </si>
  <si>
    <t>ENGINE #2</t>
  </si>
  <si>
    <t>TOTALS</t>
  </si>
  <si>
    <t>NOx, CO &amp; VOC Emission Factors are from AP-42 Table 1.4-1 and 1.4-2 (Emission Factors for</t>
  </si>
  <si>
    <t>RICE Input Data</t>
  </si>
  <si>
    <t>RICE Engine #3</t>
  </si>
  <si>
    <t>RICE Engine #4</t>
  </si>
  <si>
    <t>RICE Engine #5</t>
  </si>
  <si>
    <t>RICE Engine #6</t>
  </si>
  <si>
    <t>RICE Engine #7</t>
  </si>
  <si>
    <t>RICE Engine #8</t>
  </si>
  <si>
    <t>RICE Engine #9</t>
  </si>
  <si>
    <t>RICE Engine #10</t>
  </si>
  <si>
    <t>ENGINE #3</t>
  </si>
  <si>
    <t>ENGINE #4</t>
  </si>
  <si>
    <t>ENGINE #5</t>
  </si>
  <si>
    <t>ENGINE #6</t>
  </si>
  <si>
    <t>ENGINE #7</t>
  </si>
  <si>
    <t>ENGINE #8</t>
  </si>
  <si>
    <t>ENGINE #9</t>
  </si>
  <si>
    <t>ENGINE #10</t>
  </si>
  <si>
    <t>Average bleed rate of device (scf/hr).</t>
  </si>
  <si>
    <t>Initial Control Installation Deadline</t>
  </si>
  <si>
    <t>Additional Control Installation Deadline</t>
  </si>
  <si>
    <t>Number of Engines</t>
  </si>
  <si>
    <t>Enter the number of engines that will be installed at the production facility.</t>
  </si>
  <si>
    <t>Treater</t>
  </si>
  <si>
    <t>HAP emissions calculated in GRI-GLYCalc software (if no glycol dehydrator enter 0).</t>
  </si>
  <si>
    <t>VOC emissions calculated in GRI-GLYCalc software (if no glycol dehydrator enter 0).</t>
  </si>
  <si>
    <t>Treater Burner(s)</t>
  </si>
  <si>
    <t>Total burner rating for the heater treater burner(s) in btu/hr.  If there are multiple burners, add the total heat input together.</t>
  </si>
  <si>
    <t>The burner(s) is/are assumed to operate 8,760 hours per year.</t>
  </si>
  <si>
    <t xml:space="preserve">VOC weight fraction of the wellstream gas (Note: Weight%, not Mole%).  </t>
  </si>
  <si>
    <t xml:space="preserve">HAP weight fraction of the wellstream gas.  (Note: Weight%, not Mole%). </t>
  </si>
  <si>
    <t xml:space="preserve"> =</t>
  </si>
  <si>
    <t xml:space="preserve">Controlled emissions are calculated based on a  </t>
  </si>
  <si>
    <t xml:space="preserve">CO TPY </t>
  </si>
  <si>
    <t xml:space="preserve">NOx TPY </t>
  </si>
  <si>
    <t xml:space="preserve">VOC TPY </t>
  </si>
  <si>
    <t>Total Number of controllers</t>
  </si>
  <si>
    <t>TPY HAP of one controller</t>
  </si>
  <si>
    <t>TPY VOC of one controller</t>
  </si>
  <si>
    <t>Total Number of pumps</t>
  </si>
  <si>
    <t>Site total from pumps</t>
  </si>
  <si>
    <t>Site total from controllers</t>
  </si>
  <si>
    <t>Engineered Flare w/99% DRE</t>
  </si>
  <si>
    <t>Steffes SHP-6</t>
  </si>
  <si>
    <t>Steffes SHC-6</t>
  </si>
  <si>
    <t>Steffes SVG-3B4</t>
  </si>
  <si>
    <t>Serial Number</t>
  </si>
  <si>
    <t>Manufacture Date</t>
  </si>
  <si>
    <t>Revised:</t>
  </si>
  <si>
    <t>Oil/Condensate Tank Data</t>
  </si>
  <si>
    <t xml:space="preserve">REGISTRATION FOR </t>
  </si>
  <si>
    <t>OIL/GAS PRODUCTION FACILITY</t>
  </si>
  <si>
    <t>DIVISION OF AIR QUALITY</t>
  </si>
  <si>
    <t>SFN 14334 (02-16)</t>
  </si>
  <si>
    <t>Type of Report</t>
  </si>
  <si>
    <t>Well Status</t>
  </si>
  <si>
    <t>Date of Completion/Recompletion</t>
  </si>
  <si>
    <t>Name of Owner/Operator</t>
  </si>
  <si>
    <t>Title</t>
  </si>
  <si>
    <t>Telephone Number</t>
  </si>
  <si>
    <t>Mailing Address (Street &amp; No.)</t>
  </si>
  <si>
    <t>City</t>
  </si>
  <si>
    <t>State</t>
  </si>
  <si>
    <t>ZIP Code</t>
  </si>
  <si>
    <t>Field Name</t>
  </si>
  <si>
    <t>County</t>
  </si>
  <si>
    <t>Latitude (Decimal Format)</t>
  </si>
  <si>
    <t>Longitude (Decimal Format)</t>
  </si>
  <si>
    <t>Legal Description of Facility Site</t>
  </si>
  <si>
    <t>Attached Documents</t>
  </si>
  <si>
    <t>FOR OFFICE USE ONLY</t>
  </si>
  <si>
    <t>Date of GOR</t>
  </si>
  <si>
    <t>Emergency Flare System</t>
  </si>
  <si>
    <t>Flare(s)</t>
  </si>
  <si>
    <t>NORTH DAKOTA DEPARTMENT OF ENVIRONMENTAL QUALITY</t>
  </si>
  <si>
    <t>SECTION A - GENERAL INFORMATION</t>
  </si>
  <si>
    <t>Initial</t>
  </si>
  <si>
    <t>Amended</t>
  </si>
  <si>
    <t>Initial Completion</t>
  </si>
  <si>
    <t>Recompletion</t>
  </si>
  <si>
    <t>Oil Production</t>
  </si>
  <si>
    <t>Gas Production</t>
  </si>
  <si>
    <t>Well's Primary Production Intent</t>
  </si>
  <si>
    <t>Applicant's Name</t>
  </si>
  <si>
    <t>Email Address</t>
  </si>
  <si>
    <t>Contact Person for Air Pollution Control Matters</t>
  </si>
  <si>
    <t>SECTION B - FACILITY DATA</t>
  </si>
  <si>
    <r>
      <t>NDIC Permit Number (</t>
    </r>
    <r>
      <rPr>
        <b/>
        <sz val="10"/>
        <rFont val="Arial"/>
        <family val="2"/>
      </rPr>
      <t>one</t>
    </r>
    <r>
      <rPr>
        <sz val="10"/>
        <rFont val="Arial"/>
        <family val="2"/>
      </rPr>
      <t xml:space="preserve"> per registration)</t>
    </r>
  </si>
  <si>
    <r>
      <t>Well Name (</t>
    </r>
    <r>
      <rPr>
        <b/>
        <sz val="10"/>
        <rFont val="Arial"/>
        <family val="2"/>
      </rPr>
      <t>one</t>
    </r>
    <r>
      <rPr>
        <sz val="10"/>
        <rFont val="Arial"/>
        <family val="2"/>
      </rPr>
      <t xml:space="preserve"> per registration)</t>
    </r>
  </si>
  <si>
    <t>Producing Pool</t>
  </si>
  <si>
    <t xml:space="preserve">¼ </t>
  </si>
  <si>
    <t>Section</t>
  </si>
  <si>
    <t>Township</t>
  </si>
  <si>
    <t>Environmental Compliance Supervisor</t>
  </si>
  <si>
    <t>701-891-1219</t>
  </si>
  <si>
    <t>Range</t>
  </si>
  <si>
    <t>Other NDIC Permit Numbers on Site</t>
  </si>
  <si>
    <t>NDIC Central Tank Battery Number</t>
  </si>
  <si>
    <t>Central Tank Battery Location</t>
  </si>
  <si>
    <t>Have all wells onsite been evaluated for emissions?</t>
  </si>
  <si>
    <r>
      <t xml:space="preserve">Do </t>
    </r>
    <r>
      <rPr>
        <u/>
        <sz val="10"/>
        <rFont val="Arial"/>
        <family val="2"/>
      </rPr>
      <t>site</t>
    </r>
    <r>
      <rPr>
        <sz val="10"/>
        <rFont val="Arial"/>
        <family val="2"/>
      </rPr>
      <t xml:space="preserve"> emissions exceed Title V threshholds?</t>
    </r>
  </si>
  <si>
    <t>SFN52858</t>
  </si>
  <si>
    <t>SFN61006</t>
  </si>
  <si>
    <t>If "Yes", the following forms must be filled out and attached:</t>
  </si>
  <si>
    <t>SFN61008</t>
  </si>
  <si>
    <t>Gas Analysis</t>
  </si>
  <si>
    <t>Data of Analysis</t>
  </si>
  <si>
    <t>Emission Calculation Workbook</t>
  </si>
  <si>
    <t>(Including Input, RICE, Summary)</t>
  </si>
  <si>
    <t>Entered into Database</t>
  </si>
  <si>
    <t>Fee Received</t>
  </si>
  <si>
    <t>Alexander</t>
  </si>
  <si>
    <t>SECTION C - GAS INFORMATION</t>
  </si>
  <si>
    <t>Gas/Oil Ratio (scf/bbl)</t>
  </si>
  <si>
    <t>H2S Content in Gas (ppm or mole%; 1%=10,000 ppm)</t>
  </si>
  <si>
    <t>Disposition of Gas</t>
  </si>
  <si>
    <t>Gas Analysis Attached</t>
  </si>
  <si>
    <t>Flared</t>
  </si>
  <si>
    <t>Reviewed</t>
  </si>
  <si>
    <t>Sold</t>
  </si>
  <si>
    <t>Used on Lease</t>
  </si>
  <si>
    <t>Temporarily Flared</t>
  </si>
  <si>
    <t>Sold to:</t>
  </si>
  <si>
    <t>Estimated amount (Mcf/day):</t>
  </si>
  <si>
    <t>Scheduled to be tied in to/by:</t>
  </si>
  <si>
    <t>SECTION D - EQUIPMENT</t>
  </si>
  <si>
    <t>Equipped with Automatic Ignitor</t>
  </si>
  <si>
    <t>Equipped with Continuous Pilot</t>
  </si>
  <si>
    <t>Flare Stack Height Above Ground (ft)</t>
  </si>
  <si>
    <t>Pilot Fuel</t>
  </si>
  <si>
    <t>Flare Manufacturer</t>
  </si>
  <si>
    <t>Process/Tank Flare System</t>
  </si>
  <si>
    <t>New</t>
  </si>
  <si>
    <t>Existing</t>
  </si>
  <si>
    <t>Expected decline factor for the first year of operation.  Enter the default value of 1.0 for an existing well or 0.6 for a new or recompleted well.</t>
  </si>
  <si>
    <t>Lower Heating Value (Btu/scf)</t>
  </si>
  <si>
    <t>Lower heating value (Btu/scf) of wellstream gas.</t>
  </si>
  <si>
    <t>Lower heating value (Btu/scf) of tank vapors. Bakken default is 2000 btu/scf.</t>
  </si>
  <si>
    <t>Molecular weight of the tank vapors in pounds per pound-mole (lb/lb-mole). Bakken default is 45.19.</t>
  </si>
  <si>
    <t>VOC weight fraction of the tank vapor gas (C3+).  Bakken default is 79.8%.</t>
  </si>
  <si>
    <t>HAP weight fraction of the tank vapor gas. Bakken default is 2.26%.</t>
  </si>
  <si>
    <t>Default Bakken EF</t>
  </si>
  <si>
    <t>Direct Measurement</t>
  </si>
  <si>
    <t>XYZ123</t>
  </si>
  <si>
    <t>Use the drop down menu to choose the appropriate oil sales method. If oil is sold through a LACT, no input values are required in this section.</t>
  </si>
  <si>
    <t>Consumption Rate (scf/min)</t>
  </si>
  <si>
    <t>Rating (Btu/hr)</t>
  </si>
  <si>
    <t>Vapor Pressure (psia)</t>
  </si>
  <si>
    <t>Molecular Weight (lb/lbmole)</t>
  </si>
  <si>
    <t>This is the estimated scfd of tank vapors based on the following: adjusted BOPD multiplied by the FGOR.</t>
  </si>
  <si>
    <t>Bleed Rate (scf/hr)</t>
  </si>
  <si>
    <t>1/379 lb-mole/scf</t>
  </si>
  <si>
    <r>
      <t>H</t>
    </r>
    <r>
      <rPr>
        <vertAlign val="subscript"/>
        <sz val="12"/>
        <rFont val="Segoe UI"/>
        <family val="2"/>
      </rPr>
      <t>2</t>
    </r>
    <r>
      <rPr>
        <sz val="12"/>
        <rFont val="Segoe UI"/>
        <family val="2"/>
      </rPr>
      <t>S weight %</t>
    </r>
  </si>
  <si>
    <r>
      <t>H</t>
    </r>
    <r>
      <rPr>
        <vertAlign val="subscript"/>
        <sz val="12"/>
        <rFont val="Segoe UI"/>
        <family val="2"/>
      </rPr>
      <t>2</t>
    </r>
    <r>
      <rPr>
        <sz val="12"/>
        <rFont val="Segoe UI"/>
        <family val="2"/>
      </rPr>
      <t>S weight percent of the tank vapor gas.</t>
    </r>
  </si>
  <si>
    <r>
      <t>H</t>
    </r>
    <r>
      <rPr>
        <vertAlign val="subscript"/>
        <sz val="12"/>
        <rFont val="Segoe UI"/>
        <family val="2"/>
      </rPr>
      <t>2</t>
    </r>
    <r>
      <rPr>
        <sz val="12"/>
        <rFont val="Segoe UI"/>
        <family val="2"/>
      </rPr>
      <t>S mole %</t>
    </r>
  </si>
  <si>
    <r>
      <t>H</t>
    </r>
    <r>
      <rPr>
        <vertAlign val="subscript"/>
        <sz val="12"/>
        <rFont val="Segoe UI"/>
        <family val="2"/>
      </rPr>
      <t>2</t>
    </r>
    <r>
      <rPr>
        <sz val="12"/>
        <rFont val="Segoe UI"/>
        <family val="2"/>
      </rPr>
      <t>S mole percent of the tank vapor gas.</t>
    </r>
  </si>
  <si>
    <r>
      <t>H</t>
    </r>
    <r>
      <rPr>
        <vertAlign val="subscript"/>
        <sz val="12"/>
        <rFont val="Segoe UI"/>
        <family val="2"/>
      </rPr>
      <t>2</t>
    </r>
    <r>
      <rPr>
        <sz val="12"/>
        <rFont val="Segoe UI"/>
        <family val="2"/>
      </rPr>
      <t>S weight percent of the wellstream gas</t>
    </r>
  </si>
  <si>
    <r>
      <t>H</t>
    </r>
    <r>
      <rPr>
        <vertAlign val="subscript"/>
        <sz val="12"/>
        <rFont val="Segoe UI"/>
        <family val="2"/>
      </rPr>
      <t>2</t>
    </r>
    <r>
      <rPr>
        <sz val="12"/>
        <rFont val="Segoe UI"/>
        <family val="2"/>
      </rPr>
      <t>S mole percent of the wellstream gas</t>
    </r>
  </si>
  <si>
    <t>Temperature (°F)</t>
  </si>
  <si>
    <t>North Dakota Department of Environmental Quality*</t>
  </si>
  <si>
    <t>Flash Gas to Oil Ratio (scf/bbl)</t>
  </si>
  <si>
    <t>Combustor w/99.5% DRE</t>
  </si>
  <si>
    <t>Questor Q5000</t>
  </si>
  <si>
    <t>AWI 100</t>
  </si>
  <si>
    <t xml:space="preserve">Use the drop down menu to choose the appropriate emission control type. </t>
  </si>
  <si>
    <r>
      <t>H</t>
    </r>
    <r>
      <rPr>
        <b/>
        <vertAlign val="subscript"/>
        <sz val="12"/>
        <rFont val="Segoe UI"/>
        <family val="2"/>
      </rPr>
      <t>2</t>
    </r>
    <r>
      <rPr>
        <b/>
        <sz val="12"/>
        <rFont val="Segoe UI"/>
        <family val="2"/>
      </rPr>
      <t>S</t>
    </r>
  </si>
  <si>
    <r>
      <t>SO</t>
    </r>
    <r>
      <rPr>
        <b/>
        <vertAlign val="subscript"/>
        <sz val="12"/>
        <rFont val="Segoe UI"/>
        <family val="2"/>
      </rPr>
      <t>2</t>
    </r>
  </si>
  <si>
    <t>Documents Required</t>
  </si>
  <si>
    <t>DRE of the VOC gas.</t>
  </si>
  <si>
    <t>NOx &amp; CO emission factors are from AP-42 Table 13.5-1 (Emission Factors for Flare Operations).</t>
  </si>
  <si>
    <t>C3 + VOC</t>
  </si>
  <si>
    <r>
      <rPr>
        <b/>
        <sz val="12"/>
        <rFont val="Segoe UI"/>
        <family val="2"/>
      </rPr>
      <t>Emissions (TPY)</t>
    </r>
    <r>
      <rPr>
        <sz val="12"/>
        <rFont val="Segoe UI"/>
        <family val="2"/>
      </rPr>
      <t xml:space="preserve"> = (lb/hr VOC) x (8760 hr/yr) x (1 ton/2000)</t>
    </r>
  </si>
  <si>
    <t>Supply Gas</t>
  </si>
  <si>
    <t>MW</t>
  </si>
  <si>
    <t>VOC lb/hr</t>
  </si>
  <si>
    <t>HAP lb/hr</t>
  </si>
  <si>
    <t>wt fraction</t>
  </si>
  <si>
    <t>Total VOC Controlled Emissions</t>
  </si>
  <si>
    <t>Total HAP Controlled Emissions</t>
  </si>
  <si>
    <r>
      <rPr>
        <b/>
        <sz val="12"/>
        <rFont val="Segoe UI"/>
        <family val="2"/>
      </rPr>
      <t>Emissions (lb/hr)</t>
    </r>
    <r>
      <rPr>
        <sz val="12"/>
        <rFont val="Segoe UI"/>
        <family val="2"/>
      </rPr>
      <t xml:space="preserve"> = PSCR (scf/min) x (60 min/1hr) x (1/379 lb-mole/scf) x (VOC wt. Fraction)</t>
    </r>
  </si>
  <si>
    <r>
      <rPr>
        <b/>
        <sz val="12"/>
        <rFont val="Segoe UI"/>
        <family val="2"/>
      </rPr>
      <t>Emissions (lb/hr)</t>
    </r>
    <r>
      <rPr>
        <sz val="12"/>
        <rFont val="Segoe UI"/>
        <family val="2"/>
      </rPr>
      <t xml:space="preserve"> = PSCR (scf/hr) x (1/379 lb-mole/scf) x (VOC wt. Fraction)</t>
    </r>
  </si>
  <si>
    <t>Document/Permit Requirements**</t>
  </si>
  <si>
    <t>**Owners and operators of O&amp;G facilities with the potential to emit at or above major source thresholds must adequately control emissions or follow the normal permitting process established in Chapters 33.1-15-14 and 33.1-15-15 of the North Dakota Air Pollution Control Rules.</t>
  </si>
  <si>
    <t>*NDDEQ potential to emit calculations are calculated post-control.</t>
  </si>
  <si>
    <t>Emissions Summary</t>
  </si>
  <si>
    <t>Molecular weight of tank vapors (lb/lb-mole).</t>
  </si>
  <si>
    <t>Name of the operating company.</t>
  </si>
  <si>
    <t>Name of the well.</t>
  </si>
  <si>
    <t>First date of production or the date of modification of the facility.</t>
  </si>
  <si>
    <t>Operator</t>
  </si>
  <si>
    <t>Well Name</t>
  </si>
  <si>
    <t>Well Input Data</t>
  </si>
  <si>
    <t>Use the drop down menu to indicate a new/recompleted or existing well.</t>
  </si>
  <si>
    <t>Use the drop down menu to indicate the manufacturer and model number if utilizing the High Efficiency Concept*.</t>
  </si>
  <si>
    <t>Manufacture date of emission control device if utilizing the High Efficiency Concept*.</t>
  </si>
  <si>
    <t>Serial number of emission control device if utilizing the High Efficiency Concept*.</t>
  </si>
  <si>
    <t>*Must have prior approval from the Department to utilize the High Efficiency Concept.</t>
  </si>
  <si>
    <t>Date registration is submitted to NDDEQ (within 90 days of the first date of production or modification of the facility).</t>
  </si>
  <si>
    <r>
      <rPr>
        <b/>
        <sz val="12"/>
        <color rgb="FF00B050"/>
        <rFont val="Segoe UI"/>
        <family val="2"/>
      </rPr>
      <t>GREEN</t>
    </r>
    <r>
      <rPr>
        <sz val="12"/>
        <rFont val="Segoe UI"/>
        <family val="2"/>
      </rPr>
      <t xml:space="preserve"> = Requires input. </t>
    </r>
    <r>
      <rPr>
        <b/>
        <sz val="12"/>
        <color rgb="FFFF0000"/>
        <rFont val="Segoe UI"/>
        <family val="2"/>
      </rPr>
      <t>RED</t>
    </r>
    <r>
      <rPr>
        <sz val="12"/>
        <rFont val="Segoe UI"/>
        <family val="2"/>
      </rPr>
      <t xml:space="preserve"> = No input required; this is a calculated value.</t>
    </r>
  </si>
  <si>
    <t>Well Information</t>
  </si>
  <si>
    <t>55555, 55556, 55557</t>
  </si>
  <si>
    <t xml:space="preserve">Average daily rate of flaring of sales gas and treater gas. </t>
  </si>
  <si>
    <t>Adjusted Gas (Mscfd)</t>
  </si>
  <si>
    <t>Oil Produced (BOPD)</t>
  </si>
  <si>
    <t>Adjusted Oil (BOPD)</t>
  </si>
  <si>
    <t>Gas Produced (Mscfd)</t>
  </si>
  <si>
    <t>Gas Flared (Mscfd)</t>
  </si>
  <si>
    <t>NDIC permit number for the well. If several wells are on-site, please submit a copy of the workbook for each well.</t>
  </si>
  <si>
    <t>This is the calculated Mscfd of gas the well is expected to produce using the above entered decline factor.</t>
  </si>
  <si>
    <t>The FGOR from direct measurement, a representative factor that the Department has reviewed and approved, or the Bakken default of 97.91.</t>
  </si>
  <si>
    <t>True vapor pressure of liquid loaded (psia) from direct measurement or AP-42 values.</t>
  </si>
  <si>
    <t>Oil Truck Loading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</si>
</sst>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.0"/>
    <numFmt numFmtId="165" formatCode="0.000"/>
    <numFmt numFmtId="166" formatCode="0.00000"/>
    <numFmt numFmtId="167" formatCode="0.0000"/>
    <numFmt numFmtId="168" formatCode="#,##0.000"/>
    <numFmt numFmtId="169" formatCode=";;;"/>
    <numFmt numFmtId="170" formatCode="0.000%"/>
    <numFmt numFmtId="171" formatCode="0.0%"/>
  </numFmts>
  <fonts count="52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20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18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b/>
      <sz val="10"/>
      <color indexed="10"/>
      <name val="Arial"/>
      <family val="2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  <font>
      <sz val="12"/>
      <name val="Arial"/>
      <family val="2"/>
    </font>
    <font>
      <b/>
      <sz val="12"/>
      <color rgb="FF00B050"/>
      <name val="Arial"/>
      <family val="2"/>
    </font>
    <font>
      <b/>
      <sz val="10"/>
      <name val="Arial Narrow"/>
      <family val="2"/>
    </font>
    <font>
      <b/>
      <sz val="10.5"/>
      <name val="Arial"/>
      <family val="2"/>
    </font>
    <font>
      <sz val="10.5"/>
      <name val="Arial"/>
      <family val="2"/>
    </font>
    <font>
      <b/>
      <sz val="14"/>
      <name val="Arial"/>
      <family val="2"/>
    </font>
    <font>
      <sz val="12.5"/>
      <name val="Arial"/>
      <family val="2"/>
    </font>
    <font>
      <b/>
      <sz val="11.5"/>
      <name val="Arial"/>
      <family val="2"/>
    </font>
    <font>
      <u/>
      <sz val="10"/>
      <name val="Arial"/>
      <family val="2"/>
    </font>
    <font>
      <u/>
      <sz val="10"/>
      <color theme="10"/>
      <name val="Arial"/>
      <family val="2"/>
    </font>
    <font>
      <b/>
      <u/>
      <sz val="10"/>
      <color theme="10"/>
      <name val="Arial"/>
      <family val="2"/>
    </font>
    <font>
      <sz val="8"/>
      <color theme="0"/>
      <name val="Arial"/>
      <family val="2"/>
    </font>
    <font>
      <sz val="12"/>
      <name val="Segoe UI"/>
      <family val="2"/>
    </font>
    <font>
      <b/>
      <sz val="12"/>
      <color rgb="FF00B050"/>
      <name val="Segoe UI"/>
      <family val="2"/>
    </font>
    <font>
      <b/>
      <sz val="12"/>
      <color rgb="FFFF0000"/>
      <name val="Segoe UI"/>
      <family val="2"/>
    </font>
    <font>
      <b/>
      <sz val="12"/>
      <name val="Segoe UI"/>
      <family val="2"/>
    </font>
    <font>
      <vertAlign val="subscript"/>
      <sz val="12"/>
      <name val="Segoe UI"/>
      <family val="2"/>
    </font>
    <font>
      <b/>
      <sz val="16"/>
      <name val="Segoe UI"/>
      <family val="2"/>
    </font>
    <font>
      <sz val="10"/>
      <name val="Segoe UI"/>
      <family val="2"/>
    </font>
    <font>
      <b/>
      <vertAlign val="subscript"/>
      <sz val="12"/>
      <name val="Segoe UI"/>
      <family val="2"/>
    </font>
    <font>
      <b/>
      <u/>
      <sz val="12"/>
      <name val="Segoe UI"/>
      <family val="2"/>
    </font>
    <font>
      <b/>
      <sz val="12"/>
      <color indexed="17"/>
      <name val="Segoe UI"/>
      <family val="2"/>
    </font>
    <font>
      <b/>
      <sz val="12"/>
      <color indexed="10"/>
      <name val="Segoe UI"/>
      <family val="2"/>
    </font>
    <font>
      <sz val="12"/>
      <color theme="0"/>
      <name val="Segoe UI"/>
      <family val="2"/>
    </font>
    <font>
      <b/>
      <sz val="12"/>
      <color theme="1"/>
      <name val="Segoe UI"/>
      <family val="2"/>
    </font>
    <font>
      <b/>
      <sz val="20"/>
      <name val="Segoe UI"/>
      <family val="2"/>
    </font>
    <font>
      <b/>
      <sz val="12"/>
      <color indexed="14"/>
      <name val="Segoe UI"/>
      <family val="2"/>
    </font>
    <font>
      <b/>
      <sz val="12"/>
      <color indexed="50"/>
      <name val="Segoe UI"/>
      <family val="2"/>
    </font>
    <font>
      <sz val="12"/>
      <color indexed="8"/>
      <name val="Segoe UI"/>
      <family val="2"/>
    </font>
    <font>
      <b/>
      <sz val="12"/>
      <color theme="0" tint="-4.9989318521683403E-2"/>
      <name val="Segoe UI"/>
      <family val="2"/>
    </font>
    <font>
      <sz val="12"/>
      <color theme="0" tint="-4.9989318521683403E-2"/>
      <name val="Segoe UI"/>
      <family val="2"/>
    </font>
    <font>
      <sz val="12"/>
      <color indexed="48"/>
      <name val="Segoe UI"/>
      <family val="2"/>
    </font>
    <font>
      <sz val="12"/>
      <color indexed="17"/>
      <name val="Segoe UI"/>
      <family val="2"/>
    </font>
    <font>
      <sz val="12"/>
      <color indexed="12"/>
      <name val="Segoe UI"/>
      <family val="2"/>
    </font>
    <font>
      <sz val="12"/>
      <color indexed="10"/>
      <name val="Segoe UI"/>
      <family val="2"/>
    </font>
    <font>
      <b/>
      <sz val="12"/>
      <color indexed="56"/>
      <name val="Segoe UI"/>
      <family val="2"/>
    </font>
    <font>
      <sz val="12"/>
      <color indexed="14"/>
      <name val="Segoe UI"/>
      <family val="2"/>
    </font>
    <font>
      <b/>
      <sz val="12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106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double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double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/>
      <bottom style="double">
        <color auto="1"/>
      </bottom>
      <diagonal/>
    </border>
    <border>
      <left/>
      <right/>
      <top style="medium">
        <color indexed="64"/>
      </top>
      <bottom style="double">
        <color auto="1"/>
      </bottom>
      <diagonal/>
    </border>
    <border>
      <left/>
      <right style="double">
        <color auto="1"/>
      </right>
      <top style="medium">
        <color auto="1"/>
      </top>
      <bottom style="double">
        <color auto="1"/>
      </bottom>
      <diagonal/>
    </border>
    <border>
      <left style="double">
        <color auto="1"/>
      </left>
      <right style="medium">
        <color indexed="64"/>
      </right>
      <top/>
      <bottom/>
      <diagonal/>
    </border>
    <border>
      <left/>
      <right style="double">
        <color auto="1"/>
      </right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auto="1"/>
      </right>
      <top/>
      <bottom/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auto="1"/>
      </right>
      <top style="medium">
        <color auto="1"/>
      </top>
      <bottom/>
      <diagonal/>
    </border>
    <border>
      <left style="medium">
        <color indexed="64"/>
      </left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0" fontId="23" fillId="0" borderId="0" applyNumberFormat="0" applyFill="0" applyBorder="0" applyAlignment="0" applyProtection="0"/>
  </cellStyleXfs>
  <cellXfs count="819">
    <xf numFmtId="0" fontId="0" fillId="0" borderId="0" xfId="0"/>
    <xf numFmtId="0" fontId="0" fillId="0" borderId="0" xfId="0" applyFill="1"/>
    <xf numFmtId="0" fontId="0" fillId="0" borderId="0" xfId="0" applyAlignment="1">
      <alignment horizontal="center"/>
    </xf>
    <xf numFmtId="0" fontId="8" fillId="0" borderId="0" xfId="0" applyFont="1"/>
    <xf numFmtId="0" fontId="2" fillId="0" borderId="0" xfId="0" applyFont="1"/>
    <xf numFmtId="0" fontId="2" fillId="0" borderId="0" xfId="0" applyFont="1" applyFill="1"/>
    <xf numFmtId="0" fontId="0" fillId="0" borderId="0" xfId="0" applyAlignment="1">
      <alignment horizontal="left"/>
    </xf>
    <xf numFmtId="3" fontId="0" fillId="0" borderId="0" xfId="0" applyNumberFormat="1" applyAlignment="1">
      <alignment horizontal="center"/>
    </xf>
    <xf numFmtId="4" fontId="0" fillId="0" borderId="0" xfId="0" applyNumberFormat="1"/>
    <xf numFmtId="4" fontId="0" fillId="0" borderId="0" xfId="0" applyNumberFormat="1" applyAlignment="1">
      <alignment horizontal="center"/>
    </xf>
    <xf numFmtId="164" fontId="0" fillId="0" borderId="0" xfId="0" applyNumberFormat="1"/>
    <xf numFmtId="1" fontId="0" fillId="0" borderId="0" xfId="0" applyNumberFormat="1"/>
    <xf numFmtId="0" fontId="8" fillId="0" borderId="0" xfId="0" applyFont="1" applyProtection="1">
      <protection locked="0"/>
    </xf>
    <xf numFmtId="165" fontId="8" fillId="0" borderId="0" xfId="0" applyNumberFormat="1" applyFont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167" fontId="8" fillId="0" borderId="0" xfId="0" applyNumberFormat="1" applyFont="1" applyAlignment="1" applyProtection="1">
      <alignment horizontal="center"/>
      <protection locked="0"/>
    </xf>
    <xf numFmtId="0" fontId="2" fillId="0" borderId="0" xfId="0" applyFont="1" applyAlignment="1"/>
    <xf numFmtId="0" fontId="0" fillId="0" borderId="0" xfId="0" applyAlignment="1">
      <alignment horizontal="center"/>
    </xf>
    <xf numFmtId="0" fontId="14" fillId="0" borderId="0" xfId="0" applyFont="1"/>
    <xf numFmtId="0" fontId="0" fillId="2" borderId="0" xfId="0" applyFill="1"/>
    <xf numFmtId="0" fontId="0" fillId="2" borderId="0" xfId="0" applyFill="1" applyBorder="1"/>
    <xf numFmtId="0" fontId="5" fillId="0" borderId="0" xfId="0" applyFont="1"/>
    <xf numFmtId="0" fontId="9" fillId="0" borderId="0" xfId="0" applyFont="1"/>
    <xf numFmtId="0" fontId="0" fillId="0" borderId="0" xfId="0" applyBorder="1"/>
    <xf numFmtId="0" fontId="10" fillId="0" borderId="0" xfId="0" applyFont="1" applyBorder="1" applyAlignment="1">
      <alignment horizontal="center"/>
    </xf>
    <xf numFmtId="0" fontId="5" fillId="0" borderId="0" xfId="0" applyFont="1" applyBorder="1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0" fillId="0" borderId="4" xfId="0" applyBorder="1"/>
    <xf numFmtId="0" fontId="9" fillId="0" borderId="0" xfId="0" applyFont="1" applyFill="1" applyBorder="1" applyAlignment="1">
      <alignment horizontal="center"/>
    </xf>
    <xf numFmtId="0" fontId="2" fillId="0" borderId="0" xfId="0" applyFont="1" applyFill="1" applyBorder="1"/>
    <xf numFmtId="165" fontId="14" fillId="0" borderId="0" xfId="0" applyNumberFormat="1" applyFont="1" applyFill="1" applyBorder="1" applyAlignment="1">
      <alignment horizontal="right"/>
    </xf>
    <xf numFmtId="164" fontId="9" fillId="0" borderId="0" xfId="0" applyNumberFormat="1" applyFont="1" applyFill="1" applyBorder="1" applyAlignment="1">
      <alignment horizontal="right"/>
    </xf>
    <xf numFmtId="0" fontId="2" fillId="0" borderId="0" xfId="0" applyFont="1" applyBorder="1"/>
    <xf numFmtId="0" fontId="10" fillId="0" borderId="0" xfId="0" applyFont="1" applyBorder="1" applyAlignment="1"/>
    <xf numFmtId="0" fontId="2" fillId="0" borderId="0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0" fillId="0" borderId="0" xfId="0" applyFill="1" applyBorder="1" applyAlignment="1"/>
    <xf numFmtId="0" fontId="2" fillId="0" borderId="0" xfId="0" applyFont="1" applyFill="1" applyBorder="1" applyAlignment="1"/>
    <xf numFmtId="0" fontId="0" fillId="0" borderId="0" xfId="0" applyAlignment="1"/>
    <xf numFmtId="0" fontId="0" fillId="0" borderId="0" xfId="0" applyFill="1" applyAlignment="1"/>
    <xf numFmtId="0" fontId="0" fillId="0" borderId="0" xfId="0" applyBorder="1" applyAlignment="1"/>
    <xf numFmtId="0" fontId="8" fillId="0" borderId="0" xfId="0" applyFont="1" applyBorder="1"/>
    <xf numFmtId="165" fontId="8" fillId="0" borderId="0" xfId="0" applyNumberFormat="1" applyFont="1" applyBorder="1" applyAlignment="1" applyProtection="1">
      <alignment horizontal="center"/>
      <protection locked="0"/>
    </xf>
    <xf numFmtId="0" fontId="0" fillId="2" borderId="0" xfId="0" applyFill="1" applyBorder="1" applyProtection="1"/>
    <xf numFmtId="0" fontId="2" fillId="2" borderId="5" xfId="0" applyFont="1" applyFill="1" applyBorder="1" applyProtection="1"/>
    <xf numFmtId="0" fontId="0" fillId="2" borderId="0" xfId="0" applyFill="1" applyProtection="1"/>
    <xf numFmtId="0" fontId="0" fillId="2" borderId="2" xfId="0" applyFill="1" applyBorder="1" applyProtection="1"/>
    <xf numFmtId="0" fontId="0" fillId="2" borderId="5" xfId="0" applyFill="1" applyBorder="1" applyProtection="1"/>
    <xf numFmtId="0" fontId="0" fillId="2" borderId="7" xfId="0" applyFill="1" applyBorder="1" applyProtection="1"/>
    <xf numFmtId="0" fontId="8" fillId="2" borderId="0" xfId="0" applyFont="1" applyFill="1" applyBorder="1" applyProtection="1"/>
    <xf numFmtId="0" fontId="8" fillId="2" borderId="0" xfId="0" applyFont="1" applyFill="1" applyBorder="1" applyAlignment="1" applyProtection="1">
      <alignment horizontal="center"/>
    </xf>
    <xf numFmtId="167" fontId="8" fillId="2" borderId="0" xfId="0" applyNumberFormat="1" applyFont="1" applyFill="1" applyBorder="1" applyAlignment="1" applyProtection="1">
      <alignment horizontal="center"/>
    </xf>
    <xf numFmtId="0" fontId="8" fillId="2" borderId="0" xfId="0" applyFont="1" applyFill="1" applyProtection="1"/>
    <xf numFmtId="165" fontId="8" fillId="2" borderId="0" xfId="0" applyNumberFormat="1" applyFont="1" applyFill="1" applyAlignment="1" applyProtection="1">
      <alignment horizontal="center"/>
    </xf>
    <xf numFmtId="0" fontId="8" fillId="2" borderId="0" xfId="0" applyFont="1" applyFill="1" applyAlignment="1" applyProtection="1">
      <alignment horizontal="center"/>
    </xf>
    <xf numFmtId="165" fontId="8" fillId="2" borderId="0" xfId="0" applyNumberFormat="1" applyFont="1" applyFill="1" applyBorder="1" applyAlignment="1" applyProtection="1">
      <alignment horizontal="center"/>
    </xf>
    <xf numFmtId="0" fontId="8" fillId="2" borderId="5" xfId="0" applyFont="1" applyFill="1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/>
    <xf numFmtId="0" fontId="11" fillId="0" borderId="0" xfId="0" applyFont="1" applyFill="1" applyBorder="1" applyAlignment="1" applyProtection="1">
      <alignment horizontal="center"/>
    </xf>
    <xf numFmtId="0" fontId="0" fillId="0" borderId="0" xfId="0" applyFill="1" applyProtection="1"/>
    <xf numFmtId="0" fontId="2" fillId="0" borderId="0" xfId="0" applyFont="1" applyFill="1" applyBorder="1" applyAlignment="1" applyProtection="1"/>
    <xf numFmtId="0" fontId="2" fillId="0" borderId="0" xfId="0" applyFont="1" applyFill="1" applyBorder="1" applyProtection="1"/>
    <xf numFmtId="2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Protection="1"/>
    <xf numFmtId="165" fontId="1" fillId="0" borderId="0" xfId="0" applyNumberFormat="1" applyFont="1" applyFill="1" applyBorder="1" applyAlignment="1" applyProtection="1">
      <alignment horizontal="center"/>
    </xf>
    <xf numFmtId="0" fontId="1" fillId="0" borderId="0" xfId="0" applyFont="1" applyFill="1" applyBorder="1" applyAlignment="1" applyProtection="1"/>
    <xf numFmtId="0" fontId="0" fillId="2" borderId="16" xfId="0" applyFill="1" applyBorder="1"/>
    <xf numFmtId="9" fontId="16" fillId="0" borderId="0" xfId="0" applyNumberFormat="1" applyFont="1" applyFill="1" applyBorder="1" applyAlignment="1"/>
    <xf numFmtId="0" fontId="10" fillId="2" borderId="7" xfId="0" applyFont="1" applyFill="1" applyBorder="1" applyAlignment="1"/>
    <xf numFmtId="0" fontId="8" fillId="2" borderId="0" xfId="0" applyFont="1" applyFill="1" applyBorder="1"/>
    <xf numFmtId="0" fontId="8" fillId="2" borderId="16" xfId="0" applyFont="1" applyFill="1" applyBorder="1"/>
    <xf numFmtId="0" fontId="0" fillId="2" borderId="7" xfId="0" applyFill="1" applyBorder="1"/>
    <xf numFmtId="0" fontId="0" fillId="2" borderId="4" xfId="0" applyFill="1" applyBorder="1"/>
    <xf numFmtId="0" fontId="10" fillId="0" borderId="0" xfId="0" applyFont="1" applyFill="1" applyBorder="1" applyAlignment="1"/>
    <xf numFmtId="0" fontId="16" fillId="0" borderId="0" xfId="0" applyFont="1" applyFill="1" applyBorder="1" applyAlignment="1"/>
    <xf numFmtId="0" fontId="0" fillId="2" borderId="5" xfId="0" applyFill="1" applyBorder="1"/>
    <xf numFmtId="0" fontId="2" fillId="2" borderId="7" xfId="0" applyFont="1" applyFill="1" applyBorder="1"/>
    <xf numFmtId="2" fontId="0" fillId="0" borderId="0" xfId="0" applyNumberFormat="1" applyFill="1" applyBorder="1" applyAlignment="1" applyProtection="1">
      <alignment horizontal="center"/>
    </xf>
    <xf numFmtId="2" fontId="0" fillId="0" borderId="0" xfId="0" applyNumberFormat="1" applyFill="1" applyBorder="1" applyProtection="1"/>
    <xf numFmtId="2" fontId="1" fillId="0" borderId="0" xfId="0" applyNumberFormat="1" applyFont="1" applyFill="1" applyBorder="1" applyAlignment="1" applyProtection="1"/>
    <xf numFmtId="2" fontId="3" fillId="0" borderId="0" xfId="0" applyNumberFormat="1" applyFont="1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right"/>
    </xf>
    <xf numFmtId="0" fontId="0" fillId="0" borderId="0" xfId="0" applyBorder="1" applyAlignment="1">
      <alignment horizontal="center"/>
    </xf>
    <xf numFmtId="0" fontId="0" fillId="0" borderId="0" xfId="0" applyFill="1" applyAlignment="1" applyProtection="1"/>
    <xf numFmtId="0" fontId="2" fillId="0" borderId="0" xfId="0" applyFont="1" applyFill="1" applyBorder="1" applyAlignment="1" applyProtection="1">
      <alignment horizontal="right"/>
    </xf>
    <xf numFmtId="0" fontId="0" fillId="2" borderId="83" xfId="0" applyFill="1" applyBorder="1"/>
    <xf numFmtId="0" fontId="14" fillId="0" borderId="0" xfId="0" applyFont="1" applyAlignment="1">
      <alignment horizontal="center" vertical="center"/>
    </xf>
    <xf numFmtId="9" fontId="15" fillId="0" borderId="0" xfId="0" applyNumberFormat="1" applyFont="1" applyFill="1" applyBorder="1" applyAlignment="1" applyProtection="1">
      <alignment horizontal="center" vertical="center"/>
      <protection locked="0"/>
    </xf>
    <xf numFmtId="0" fontId="14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Border="1" applyAlignment="1">
      <alignment vertical="center"/>
    </xf>
    <xf numFmtId="9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9" fontId="1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2" borderId="0" xfId="0" applyFont="1" applyFill="1"/>
    <xf numFmtId="0" fontId="0" fillId="2" borderId="89" xfId="0" applyFill="1" applyBorder="1"/>
    <xf numFmtId="0" fontId="2" fillId="2" borderId="89" xfId="0" applyFont="1" applyFill="1" applyBorder="1"/>
    <xf numFmtId="0" fontId="2" fillId="2" borderId="87" xfId="0" applyFont="1" applyFill="1" applyBorder="1" applyAlignment="1"/>
    <xf numFmtId="0" fontId="2" fillId="2" borderId="88" xfId="0" applyFont="1" applyFill="1" applyBorder="1"/>
    <xf numFmtId="0" fontId="0" fillId="2" borderId="90" xfId="0" applyFill="1" applyBorder="1"/>
    <xf numFmtId="0" fontId="2" fillId="2" borderId="84" xfId="0" applyFont="1" applyFill="1" applyBorder="1" applyAlignment="1"/>
    <xf numFmtId="0" fontId="2" fillId="2" borderId="86" xfId="0" applyFont="1" applyFill="1" applyBorder="1"/>
    <xf numFmtId="0" fontId="0" fillId="2" borderId="87" xfId="0" applyFill="1" applyBorder="1"/>
    <xf numFmtId="0" fontId="0" fillId="2" borderId="84" xfId="0" applyFill="1" applyBorder="1"/>
    <xf numFmtId="0" fontId="2" fillId="2" borderId="0" xfId="0" applyFont="1" applyFill="1" applyBorder="1"/>
    <xf numFmtId="0" fontId="2" fillId="2" borderId="89" xfId="0" applyFont="1" applyFill="1" applyBorder="1" applyAlignment="1">
      <alignment horizontal="center"/>
    </xf>
    <xf numFmtId="0" fontId="2" fillId="2" borderId="90" xfId="0" applyFont="1" applyFill="1" applyBorder="1" applyAlignment="1">
      <alignment horizontal="center"/>
    </xf>
    <xf numFmtId="0" fontId="2" fillId="2" borderId="92" xfId="0" applyFont="1" applyFill="1" applyBorder="1"/>
    <xf numFmtId="0" fontId="2" fillId="2" borderId="14" xfId="0" applyFont="1" applyFill="1" applyBorder="1"/>
    <xf numFmtId="0" fontId="0" fillId="2" borderId="14" xfId="0" applyFill="1" applyBorder="1"/>
    <xf numFmtId="0" fontId="2" fillId="2" borderId="91" xfId="0" applyFont="1" applyFill="1" applyBorder="1"/>
    <xf numFmtId="0" fontId="2" fillId="2" borderId="85" xfId="0" applyFont="1" applyFill="1" applyBorder="1"/>
    <xf numFmtId="0" fontId="20" fillId="2" borderId="0" xfId="0" applyFont="1" applyFill="1" applyAlignment="1">
      <alignment horizontal="left"/>
    </xf>
    <xf numFmtId="0" fontId="14" fillId="2" borderId="0" xfId="0" applyFont="1" applyFill="1" applyAlignment="1">
      <alignment horizontal="left" vertical="center"/>
    </xf>
    <xf numFmtId="0" fontId="24" fillId="2" borderId="88" xfId="2" applyFont="1" applyFill="1" applyBorder="1" applyAlignment="1">
      <alignment horizontal="center"/>
    </xf>
    <xf numFmtId="0" fontId="24" fillId="2" borderId="89" xfId="2" applyFont="1" applyFill="1" applyBorder="1" applyAlignment="1">
      <alignment horizontal="center"/>
    </xf>
    <xf numFmtId="0" fontId="0" fillId="2" borderId="91" xfId="0" applyFill="1" applyBorder="1"/>
    <xf numFmtId="0" fontId="0" fillId="2" borderId="85" xfId="0" applyFill="1" applyBorder="1"/>
    <xf numFmtId="0" fontId="0" fillId="3" borderId="85" xfId="0" applyFill="1" applyBorder="1"/>
    <xf numFmtId="14" fontId="0" fillId="3" borderId="90" xfId="0" applyNumberFormat="1" applyFill="1" applyBorder="1"/>
    <xf numFmtId="0" fontId="0" fillId="3" borderId="0" xfId="0" applyFill="1"/>
    <xf numFmtId="0" fontId="21" fillId="3" borderId="0" xfId="0" applyFont="1" applyFill="1"/>
    <xf numFmtId="0" fontId="0" fillId="3" borderId="87" xfId="0" applyFill="1" applyBorder="1"/>
    <xf numFmtId="0" fontId="0" fillId="3" borderId="84" xfId="0" applyFill="1" applyBorder="1"/>
    <xf numFmtId="0" fontId="0" fillId="3" borderId="0" xfId="0" applyFill="1" applyBorder="1"/>
    <xf numFmtId="0" fontId="0" fillId="3" borderId="89" xfId="0" applyFill="1" applyBorder="1"/>
    <xf numFmtId="0" fontId="0" fillId="3" borderId="90" xfId="0" applyFill="1" applyBorder="1"/>
    <xf numFmtId="0" fontId="6" fillId="2" borderId="87" xfId="0" applyFont="1" applyFill="1" applyBorder="1"/>
    <xf numFmtId="0" fontId="25" fillId="2" borderId="0" xfId="0" applyFont="1" applyFill="1" applyBorder="1"/>
    <xf numFmtId="0" fontId="6" fillId="2" borderId="0" xfId="0" applyFont="1" applyFill="1" applyBorder="1"/>
    <xf numFmtId="0" fontId="25" fillId="2" borderId="89" xfId="0" applyFont="1" applyFill="1" applyBorder="1"/>
    <xf numFmtId="0" fontId="2" fillId="2" borderId="16" xfId="0" applyFont="1" applyFill="1" applyBorder="1" applyAlignment="1" applyProtection="1">
      <alignment horizontal="center"/>
    </xf>
    <xf numFmtId="0" fontId="2" fillId="0" borderId="0" xfId="0" applyFont="1" applyAlignment="1">
      <alignment horizontal="left"/>
    </xf>
    <xf numFmtId="0" fontId="6" fillId="0" borderId="0" xfId="0" applyFont="1" applyFill="1" applyBorder="1" applyAlignment="1" applyProtection="1">
      <alignment horizontal="center"/>
    </xf>
    <xf numFmtId="0" fontId="6" fillId="0" borderId="0" xfId="0" applyFont="1" applyFill="1" applyBorder="1" applyAlignment="1" applyProtection="1"/>
    <xf numFmtId="0" fontId="6" fillId="0" borderId="0" xfId="0" applyFont="1" applyFill="1" applyBorder="1" applyAlignment="1" applyProtection="1">
      <alignment vertical="center"/>
    </xf>
    <xf numFmtId="14" fontId="27" fillId="2" borderId="83" xfId="0" applyNumberFormat="1" applyFont="1" applyFill="1" applyBorder="1" applyAlignment="1" applyProtection="1">
      <alignment horizontal="center" vertical="center"/>
      <protection locked="0"/>
    </xf>
    <xf numFmtId="0" fontId="29" fillId="2" borderId="18" xfId="0" applyFont="1" applyFill="1" applyBorder="1" applyAlignment="1"/>
    <xf numFmtId="0" fontId="29" fillId="2" borderId="20" xfId="0" applyFont="1" applyFill="1" applyBorder="1"/>
    <xf numFmtId="0" fontId="26" fillId="2" borderId="20" xfId="0" applyFont="1" applyFill="1" applyBorder="1"/>
    <xf numFmtId="0" fontId="28" fillId="2" borderId="20" xfId="0" applyFont="1" applyFill="1" applyBorder="1" applyAlignment="1" applyProtection="1">
      <alignment horizontal="center"/>
    </xf>
    <xf numFmtId="0" fontId="27" fillId="2" borderId="20" xfId="0" applyFont="1" applyFill="1" applyBorder="1" applyAlignment="1" applyProtection="1">
      <alignment horizontal="center"/>
      <protection locked="0"/>
    </xf>
    <xf numFmtId="9" fontId="27" fillId="2" borderId="20" xfId="0" applyNumberFormat="1" applyFont="1" applyFill="1" applyBorder="1" applyAlignment="1" applyProtection="1">
      <alignment horizontal="center"/>
      <protection locked="0"/>
    </xf>
    <xf numFmtId="0" fontId="29" fillId="2" borderId="21" xfId="0" applyFont="1" applyFill="1" applyBorder="1"/>
    <xf numFmtId="0" fontId="29" fillId="2" borderId="7" xfId="0" applyFont="1" applyFill="1" applyBorder="1" applyAlignment="1">
      <alignment horizontal="center"/>
    </xf>
    <xf numFmtId="0" fontId="26" fillId="2" borderId="16" xfId="0" applyFont="1" applyFill="1" applyBorder="1"/>
    <xf numFmtId="0" fontId="26" fillId="2" borderId="0" xfId="0" applyFont="1" applyFill="1"/>
    <xf numFmtId="0" fontId="26" fillId="2" borderId="2" xfId="0" applyFont="1" applyFill="1" applyBorder="1"/>
    <xf numFmtId="0" fontId="26" fillId="2" borderId="0" xfId="0" applyFont="1" applyFill="1" applyBorder="1"/>
    <xf numFmtId="0" fontId="26" fillId="2" borderId="7" xfId="0" applyFont="1" applyFill="1" applyBorder="1"/>
    <xf numFmtId="0" fontId="26" fillId="0" borderId="0" xfId="0" applyFont="1" applyFill="1" applyBorder="1"/>
    <xf numFmtId="0" fontId="26" fillId="2" borderId="0" xfId="0" applyFont="1" applyFill="1" applyBorder="1" applyAlignment="1">
      <alignment horizontal="left"/>
    </xf>
    <xf numFmtId="0" fontId="26" fillId="2" borderId="4" xfId="0" applyFont="1" applyFill="1" applyBorder="1"/>
    <xf numFmtId="0" fontId="0" fillId="2" borderId="8" xfId="0" applyFill="1" applyBorder="1"/>
    <xf numFmtId="0" fontId="14" fillId="0" borderId="0" xfId="0" applyFont="1" applyFill="1"/>
    <xf numFmtId="169" fontId="26" fillId="0" borderId="0" xfId="0" applyNumberFormat="1" applyFont="1" applyFill="1" applyAlignment="1" applyProtection="1">
      <alignment horizontal="left"/>
      <protection locked="0"/>
    </xf>
    <xf numFmtId="0" fontId="26" fillId="0" borderId="0" xfId="0" applyFont="1"/>
    <xf numFmtId="169" fontId="26" fillId="0" borderId="0" xfId="0" applyNumberFormat="1" applyFont="1" applyFill="1" applyProtection="1"/>
    <xf numFmtId="0" fontId="26" fillId="0" borderId="0" xfId="0" applyFont="1" applyFill="1" applyProtection="1"/>
    <xf numFmtId="0" fontId="26" fillId="0" borderId="0" xfId="0" applyFont="1" applyFill="1"/>
    <xf numFmtId="0" fontId="26" fillId="0" borderId="0" xfId="0" applyFont="1" applyAlignment="1">
      <alignment horizontal="left"/>
    </xf>
    <xf numFmtId="0" fontId="29" fillId="2" borderId="21" xfId="0" applyFont="1" applyFill="1" applyBorder="1" applyAlignment="1" applyProtection="1">
      <alignment horizontal="center"/>
    </xf>
    <xf numFmtId="0" fontId="29" fillId="2" borderId="6" xfId="0" applyFont="1" applyFill="1" applyBorder="1" applyAlignment="1" applyProtection="1">
      <alignment horizontal="center"/>
    </xf>
    <xf numFmtId="0" fontId="32" fillId="2" borderId="2" xfId="0" applyFont="1" applyFill="1" applyBorder="1" applyProtection="1"/>
    <xf numFmtId="0" fontId="32" fillId="2" borderId="0" xfId="0" applyFont="1" applyFill="1" applyBorder="1" applyProtection="1"/>
    <xf numFmtId="0" fontId="26" fillId="2" borderId="0" xfId="0" applyFont="1" applyFill="1" applyBorder="1" applyProtection="1"/>
    <xf numFmtId="0" fontId="26" fillId="2" borderId="62" xfId="0" applyFont="1" applyFill="1" applyBorder="1" applyAlignment="1" applyProtection="1"/>
    <xf numFmtId="0" fontId="26" fillId="2" borderId="11" xfId="0" applyFont="1" applyFill="1" applyBorder="1" applyAlignment="1" applyProtection="1"/>
    <xf numFmtId="0" fontId="26" fillId="2" borderId="4" xfId="0" applyFont="1" applyFill="1" applyBorder="1" applyAlignment="1" applyProtection="1"/>
    <xf numFmtId="0" fontId="26" fillId="2" borderId="0" xfId="0" applyFont="1" applyFill="1" applyBorder="1" applyAlignment="1" applyProtection="1"/>
    <xf numFmtId="0" fontId="26" fillId="2" borderId="12" xfId="0" applyFont="1" applyFill="1" applyBorder="1" applyAlignment="1" applyProtection="1"/>
    <xf numFmtId="0" fontId="26" fillId="2" borderId="35" xfId="0" applyFont="1" applyFill="1" applyBorder="1" applyAlignment="1" applyProtection="1"/>
    <xf numFmtId="0" fontId="29" fillId="2" borderId="0" xfId="0" applyFont="1" applyFill="1" applyBorder="1" applyAlignment="1" applyProtection="1"/>
    <xf numFmtId="0" fontId="29" fillId="2" borderId="12" xfId="0" applyFont="1" applyFill="1" applyBorder="1" applyAlignment="1" applyProtection="1"/>
    <xf numFmtId="0" fontId="29" fillId="2" borderId="35" xfId="0" applyFont="1" applyFill="1" applyBorder="1" applyAlignment="1" applyProtection="1"/>
    <xf numFmtId="14" fontId="26" fillId="2" borderId="20" xfId="0" applyNumberFormat="1" applyFont="1" applyFill="1" applyBorder="1" applyAlignment="1" applyProtection="1">
      <alignment horizontal="center"/>
    </xf>
    <xf numFmtId="0" fontId="29" fillId="2" borderId="5" xfId="0" applyFont="1" applyFill="1" applyBorder="1" applyAlignment="1" applyProtection="1"/>
    <xf numFmtId="0" fontId="26" fillId="2" borderId="2" xfId="0" applyFont="1" applyFill="1" applyBorder="1" applyProtection="1"/>
    <xf numFmtId="0" fontId="26" fillId="2" borderId="0" xfId="0" applyFont="1" applyFill="1" applyAlignment="1">
      <alignment horizontal="center"/>
    </xf>
    <xf numFmtId="0" fontId="26" fillId="2" borderId="2" xfId="0" applyFont="1" applyFill="1" applyBorder="1" applyAlignment="1" applyProtection="1"/>
    <xf numFmtId="0" fontId="26" fillId="2" borderId="2" xfId="0" applyFont="1" applyFill="1" applyBorder="1" applyAlignment="1">
      <alignment horizontal="center"/>
    </xf>
    <xf numFmtId="14" fontId="26" fillId="2" borderId="2" xfId="0" applyNumberFormat="1" applyFont="1" applyFill="1" applyBorder="1" applyAlignment="1" applyProtection="1"/>
    <xf numFmtId="14" fontId="26" fillId="2" borderId="0" xfId="0" applyNumberFormat="1" applyFont="1" applyFill="1" applyBorder="1" applyAlignment="1" applyProtection="1">
      <alignment horizontal="center"/>
    </xf>
    <xf numFmtId="14" fontId="26" fillId="2" borderId="2" xfId="0" applyNumberFormat="1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center"/>
    </xf>
    <xf numFmtId="14" fontId="26" fillId="2" borderId="0" xfId="0" applyNumberFormat="1" applyFont="1" applyFill="1" applyBorder="1" applyAlignment="1" applyProtection="1"/>
    <xf numFmtId="0" fontId="26" fillId="2" borderId="0" xfId="0" applyFont="1" applyFill="1" applyBorder="1" applyAlignment="1">
      <alignment horizontal="center"/>
    </xf>
    <xf numFmtId="0" fontId="26" fillId="2" borderId="42" xfId="0" applyFont="1" applyFill="1" applyBorder="1" applyAlignment="1" applyProtection="1"/>
    <xf numFmtId="0" fontId="26" fillId="2" borderId="0" xfId="0" applyFont="1" applyFill="1" applyProtection="1"/>
    <xf numFmtId="9" fontId="26" fillId="2" borderId="0" xfId="0" applyNumberFormat="1" applyFont="1" applyFill="1" applyProtection="1"/>
    <xf numFmtId="0" fontId="26" fillId="2" borderId="0" xfId="0" applyFont="1" applyFill="1" applyBorder="1" applyAlignment="1" applyProtection="1">
      <alignment horizontal="left"/>
    </xf>
    <xf numFmtId="169" fontId="26" fillId="2" borderId="0" xfId="0" applyNumberFormat="1" applyFont="1" applyFill="1" applyProtection="1"/>
    <xf numFmtId="0" fontId="26" fillId="2" borderId="50" xfId="0" applyFont="1" applyFill="1" applyBorder="1" applyProtection="1"/>
    <xf numFmtId="0" fontId="26" fillId="2" borderId="44" xfId="0" applyFont="1" applyFill="1" applyBorder="1" applyProtection="1"/>
    <xf numFmtId="9" fontId="26" fillId="2" borderId="49" xfId="0" applyNumberFormat="1" applyFont="1" applyFill="1" applyBorder="1" applyAlignment="1" applyProtection="1">
      <alignment horizontal="center"/>
    </xf>
    <xf numFmtId="0" fontId="26" fillId="2" borderId="11" xfId="0" applyFont="1" applyFill="1" applyBorder="1" applyProtection="1"/>
    <xf numFmtId="0" fontId="26" fillId="2" borderId="0" xfId="0" applyFont="1" applyFill="1" applyAlignment="1" applyProtection="1">
      <alignment horizontal="center"/>
    </xf>
    <xf numFmtId="169" fontId="26" fillId="2" borderId="0" xfId="0" applyNumberFormat="1" applyFont="1" applyFill="1" applyAlignment="1" applyProtection="1">
      <alignment horizontal="center"/>
    </xf>
    <xf numFmtId="0" fontId="26" fillId="2" borderId="27" xfId="0" applyFont="1" applyFill="1" applyBorder="1" applyAlignment="1" applyProtection="1">
      <alignment horizontal="left"/>
    </xf>
    <xf numFmtId="0" fontId="26" fillId="2" borderId="26" xfId="0" applyFont="1" applyFill="1" applyBorder="1" applyProtection="1"/>
    <xf numFmtId="0" fontId="26" fillId="2" borderId="27" xfId="0" applyFont="1" applyFill="1" applyBorder="1" applyProtection="1"/>
    <xf numFmtId="0" fontId="26" fillId="2" borderId="39" xfId="0" applyFont="1" applyFill="1" applyBorder="1" applyAlignment="1" applyProtection="1">
      <alignment horizontal="right"/>
    </xf>
    <xf numFmtId="10" fontId="26" fillId="2" borderId="27" xfId="0" applyNumberFormat="1" applyFont="1" applyFill="1" applyBorder="1" applyProtection="1"/>
    <xf numFmtId="9" fontId="26" fillId="2" borderId="47" xfId="0" applyNumberFormat="1" applyFont="1" applyFill="1" applyBorder="1" applyAlignment="1" applyProtection="1">
      <alignment horizontal="center"/>
    </xf>
    <xf numFmtId="0" fontId="26" fillId="2" borderId="14" xfId="0" applyFont="1" applyFill="1" applyBorder="1" applyProtection="1"/>
    <xf numFmtId="0" fontId="26" fillId="2" borderId="42" xfId="0" applyFont="1" applyFill="1" applyBorder="1" applyProtection="1"/>
    <xf numFmtId="2" fontId="26" fillId="2" borderId="0" xfId="0" applyNumberFormat="1" applyFont="1" applyFill="1" applyBorder="1" applyProtection="1"/>
    <xf numFmtId="0" fontId="26" fillId="2" borderId="27" xfId="0" applyFont="1" applyFill="1" applyBorder="1" applyAlignment="1" applyProtection="1">
      <alignment horizontal="center"/>
    </xf>
    <xf numFmtId="0" fontId="26" fillId="2" borderId="39" xfId="0" applyFont="1" applyFill="1" applyBorder="1" applyAlignment="1" applyProtection="1">
      <alignment horizontal="center"/>
    </xf>
    <xf numFmtId="10" fontId="26" fillId="2" borderId="25" xfId="0" applyNumberFormat="1" applyFont="1" applyFill="1" applyBorder="1" applyProtection="1"/>
    <xf numFmtId="0" fontId="26" fillId="2" borderId="39" xfId="0" applyFont="1" applyFill="1" applyBorder="1" applyProtection="1"/>
    <xf numFmtId="2" fontId="26" fillId="2" borderId="0" xfId="0" applyNumberFormat="1" applyFont="1" applyFill="1" applyProtection="1"/>
    <xf numFmtId="165" fontId="26" fillId="2" borderId="39" xfId="0" applyNumberFormat="1" applyFont="1" applyFill="1" applyBorder="1" applyProtection="1"/>
    <xf numFmtId="165" fontId="26" fillId="2" borderId="27" xfId="0" applyNumberFormat="1" applyFont="1" applyFill="1" applyBorder="1" applyProtection="1"/>
    <xf numFmtId="2" fontId="29" fillId="0" borderId="49" xfId="0" applyNumberFormat="1" applyFont="1" applyFill="1" applyBorder="1" applyAlignment="1" applyProtection="1">
      <alignment horizontal="center"/>
    </xf>
    <xf numFmtId="0" fontId="26" fillId="2" borderId="56" xfId="0" applyFont="1" applyFill="1" applyBorder="1" applyProtection="1"/>
    <xf numFmtId="0" fontId="26" fillId="2" borderId="27" xfId="0" applyFont="1" applyFill="1" applyBorder="1" applyAlignment="1" applyProtection="1"/>
    <xf numFmtId="0" fontId="26" fillId="2" borderId="57" xfId="0" applyFont="1" applyFill="1" applyBorder="1" applyProtection="1"/>
    <xf numFmtId="0" fontId="29" fillId="2" borderId="0" xfId="0" applyFont="1" applyFill="1" applyBorder="1" applyAlignment="1" applyProtection="1">
      <alignment horizontal="right"/>
    </xf>
    <xf numFmtId="4" fontId="26" fillId="2" borderId="0" xfId="0" applyNumberFormat="1" applyFont="1" applyFill="1" applyBorder="1" applyAlignment="1" applyProtection="1">
      <alignment horizontal="center"/>
    </xf>
    <xf numFmtId="2" fontId="36" fillId="2" borderId="0" xfId="0" applyNumberFormat="1" applyFont="1" applyFill="1" applyBorder="1" applyAlignment="1" applyProtection="1">
      <alignment horizontal="center"/>
    </xf>
    <xf numFmtId="0" fontId="26" fillId="2" borderId="2" xfId="0" applyFont="1" applyFill="1" applyBorder="1" applyAlignment="1" applyProtection="1">
      <alignment horizontal="center"/>
    </xf>
    <xf numFmtId="164" fontId="36" fillId="2" borderId="2" xfId="0" applyNumberFormat="1" applyFont="1" applyFill="1" applyBorder="1" applyAlignment="1" applyProtection="1">
      <alignment horizontal="center"/>
    </xf>
    <xf numFmtId="0" fontId="26" fillId="2" borderId="0" xfId="0" applyFont="1" applyFill="1" applyAlignment="1" applyProtection="1"/>
    <xf numFmtId="0" fontId="26" fillId="0" borderId="0" xfId="0" applyFont="1" applyFill="1" applyBorder="1" applyAlignment="1" applyProtection="1">
      <alignment horizontal="center"/>
    </xf>
    <xf numFmtId="0" fontId="26" fillId="0" borderId="0" xfId="0" applyFont="1" applyFill="1" applyBorder="1" applyProtection="1"/>
    <xf numFmtId="0" fontId="26" fillId="0" borderId="0" xfId="0" applyFont="1" applyFill="1" applyBorder="1" applyAlignment="1" applyProtection="1"/>
    <xf numFmtId="0" fontId="26" fillId="2" borderId="42" xfId="0" applyFont="1" applyFill="1" applyBorder="1" applyAlignment="1" applyProtection="1">
      <alignment horizontal="left"/>
    </xf>
    <xf numFmtId="9" fontId="26" fillId="2" borderId="0" xfId="0" applyNumberFormat="1" applyFont="1" applyFill="1" applyProtection="1">
      <protection hidden="1"/>
    </xf>
    <xf numFmtId="9" fontId="37" fillId="2" borderId="33" xfId="0" applyNumberFormat="1" applyFont="1" applyFill="1" applyBorder="1" applyProtection="1">
      <protection hidden="1"/>
    </xf>
    <xf numFmtId="0" fontId="26" fillId="2" borderId="47" xfId="0" applyFont="1" applyFill="1" applyBorder="1" applyProtection="1"/>
    <xf numFmtId="0" fontId="26" fillId="2" borderId="73" xfId="0" applyFont="1" applyFill="1" applyBorder="1" applyProtection="1"/>
    <xf numFmtId="0" fontId="26" fillId="2" borderId="25" xfId="0" applyFont="1" applyFill="1" applyBorder="1" applyAlignment="1" applyProtection="1">
      <alignment horizontal="center"/>
    </xf>
    <xf numFmtId="0" fontId="26" fillId="2" borderId="53" xfId="0" applyFont="1" applyFill="1" applyBorder="1" applyProtection="1"/>
    <xf numFmtId="0" fontId="26" fillId="2" borderId="41" xfId="0" applyFont="1" applyFill="1" applyBorder="1" applyProtection="1"/>
    <xf numFmtId="0" fontId="26" fillId="2" borderId="26" xfId="0" applyFont="1" applyFill="1" applyBorder="1" applyAlignment="1" applyProtection="1">
      <alignment horizontal="center"/>
    </xf>
    <xf numFmtId="0" fontId="26" fillId="2" borderId="40" xfId="0" applyFont="1" applyFill="1" applyBorder="1" applyAlignment="1" applyProtection="1">
      <alignment horizontal="center"/>
    </xf>
    <xf numFmtId="0" fontId="26" fillId="2" borderId="40" xfId="0" applyFont="1" applyFill="1" applyBorder="1" applyAlignment="1" applyProtection="1">
      <alignment horizontal="left"/>
    </xf>
    <xf numFmtId="2" fontId="38" fillId="2" borderId="0" xfId="0" applyNumberFormat="1" applyFont="1" applyFill="1" applyBorder="1" applyAlignment="1" applyProtection="1">
      <alignment horizontal="center"/>
    </xf>
    <xf numFmtId="0" fontId="26" fillId="2" borderId="75" xfId="0" applyFont="1" applyFill="1" applyBorder="1" applyProtection="1"/>
    <xf numFmtId="2" fontId="26" fillId="2" borderId="16" xfId="0" applyNumberFormat="1" applyFont="1" applyFill="1" applyBorder="1" applyProtection="1"/>
    <xf numFmtId="2" fontId="38" fillId="2" borderId="76" xfId="0" applyNumberFormat="1" applyFont="1" applyFill="1" applyBorder="1" applyAlignment="1" applyProtection="1">
      <alignment horizontal="center"/>
    </xf>
    <xf numFmtId="0" fontId="26" fillId="2" borderId="7" xfId="0" applyFont="1" applyFill="1" applyBorder="1" applyProtection="1"/>
    <xf numFmtId="164" fontId="36" fillId="2" borderId="0" xfId="0" applyNumberFormat="1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right"/>
    </xf>
    <xf numFmtId="2" fontId="26" fillId="2" borderId="0" xfId="0" applyNumberFormat="1" applyFont="1" applyFill="1" applyBorder="1" applyAlignment="1" applyProtection="1">
      <alignment horizontal="center"/>
    </xf>
    <xf numFmtId="171" fontId="26" fillId="2" borderId="25" xfId="0" applyNumberFormat="1" applyFont="1" applyFill="1" applyBorder="1" applyAlignment="1" applyProtection="1">
      <alignment horizontal="center"/>
    </xf>
    <xf numFmtId="171" fontId="26" fillId="2" borderId="49" xfId="0" applyNumberFormat="1" applyFont="1" applyFill="1" applyBorder="1" applyAlignment="1" applyProtection="1">
      <alignment horizontal="center"/>
    </xf>
    <xf numFmtId="171" fontId="26" fillId="2" borderId="47" xfId="0" applyNumberFormat="1" applyFont="1" applyFill="1" applyBorder="1" applyAlignment="1" applyProtection="1">
      <alignment horizontal="center"/>
    </xf>
    <xf numFmtId="0" fontId="32" fillId="2" borderId="5" xfId="0" applyFont="1" applyFill="1" applyBorder="1" applyProtection="1"/>
    <xf numFmtId="0" fontId="26" fillId="2" borderId="56" xfId="0" applyFont="1" applyFill="1" applyBorder="1" applyAlignment="1" applyProtection="1">
      <alignment horizontal="center"/>
    </xf>
    <xf numFmtId="165" fontId="26" fillId="2" borderId="0" xfId="0" applyNumberFormat="1" applyFont="1" applyFill="1" applyBorder="1" applyAlignment="1" applyProtection="1">
      <alignment horizontal="center"/>
    </xf>
    <xf numFmtId="4" fontId="26" fillId="2" borderId="39" xfId="0" applyNumberFormat="1" applyFont="1" applyFill="1" applyBorder="1" applyAlignment="1" applyProtection="1">
      <alignment horizontal="center"/>
    </xf>
    <xf numFmtId="2" fontId="29" fillId="2" borderId="39" xfId="0" applyNumberFormat="1" applyFont="1" applyFill="1" applyBorder="1" applyAlignment="1" applyProtection="1">
      <alignment horizontal="center"/>
    </xf>
    <xf numFmtId="0" fontId="26" fillId="2" borderId="45" xfId="0" applyFont="1" applyFill="1" applyBorder="1" applyProtection="1"/>
    <xf numFmtId="3" fontId="26" fillId="2" borderId="39" xfId="0" applyNumberFormat="1" applyFont="1" applyFill="1" applyBorder="1" applyAlignment="1" applyProtection="1">
      <alignment horizontal="center"/>
    </xf>
    <xf numFmtId="4" fontId="29" fillId="2" borderId="39" xfId="0" applyNumberFormat="1" applyFont="1" applyFill="1" applyBorder="1" applyAlignment="1" applyProtection="1">
      <alignment horizontal="center"/>
    </xf>
    <xf numFmtId="0" fontId="26" fillId="2" borderId="16" xfId="0" applyFont="1" applyFill="1" applyBorder="1" applyAlignment="1" applyProtection="1">
      <alignment horizontal="right"/>
    </xf>
    <xf numFmtId="0" fontId="26" fillId="2" borderId="16" xfId="0" applyFont="1" applyFill="1" applyBorder="1" applyAlignment="1" applyProtection="1">
      <alignment horizontal="center"/>
    </xf>
    <xf numFmtId="0" fontId="26" fillId="2" borderId="16" xfId="0" applyFont="1" applyFill="1" applyBorder="1" applyProtection="1"/>
    <xf numFmtId="165" fontId="26" fillId="2" borderId="16" xfId="0" applyNumberFormat="1" applyFont="1" applyFill="1" applyBorder="1" applyAlignment="1" applyProtection="1">
      <alignment horizontal="center"/>
    </xf>
    <xf numFmtId="0" fontId="26" fillId="2" borderId="40" xfId="0" applyFont="1" applyFill="1" applyBorder="1" applyProtection="1"/>
    <xf numFmtId="168" fontId="26" fillId="2" borderId="49" xfId="0" applyNumberFormat="1" applyFont="1" applyFill="1" applyBorder="1" applyAlignment="1" applyProtection="1">
      <alignment horizontal="center"/>
    </xf>
    <xf numFmtId="2" fontId="29" fillId="2" borderId="49" xfId="0" applyNumberFormat="1" applyFont="1" applyFill="1" applyBorder="1" applyAlignment="1" applyProtection="1">
      <alignment horizontal="center"/>
    </xf>
    <xf numFmtId="0" fontId="26" fillId="2" borderId="48" xfId="0" applyFont="1" applyFill="1" applyBorder="1" applyProtection="1"/>
    <xf numFmtId="3" fontId="26" fillId="2" borderId="49" xfId="0" applyNumberFormat="1" applyFont="1" applyFill="1" applyBorder="1" applyAlignment="1" applyProtection="1">
      <alignment horizontal="center"/>
    </xf>
    <xf numFmtId="0" fontId="26" fillId="2" borderId="47" xfId="0" applyFont="1" applyFill="1" applyBorder="1" applyAlignment="1" applyProtection="1">
      <alignment horizontal="center"/>
    </xf>
    <xf numFmtId="4" fontId="29" fillId="2" borderId="49" xfId="0" applyNumberFormat="1" applyFont="1" applyFill="1" applyBorder="1" applyAlignment="1" applyProtection="1">
      <alignment horizontal="center"/>
    </xf>
    <xf numFmtId="165" fontId="26" fillId="2" borderId="0" xfId="0" applyNumberFormat="1" applyFont="1" applyFill="1" applyAlignment="1" applyProtection="1">
      <alignment horizontal="center"/>
    </xf>
    <xf numFmtId="0" fontId="26" fillId="2" borderId="5" xfId="0" applyFont="1" applyFill="1" applyBorder="1" applyProtection="1"/>
    <xf numFmtId="0" fontId="26" fillId="2" borderId="5" xfId="0" applyFont="1" applyFill="1" applyBorder="1" applyAlignment="1" applyProtection="1"/>
    <xf numFmtId="165" fontId="26" fillId="2" borderId="50" xfId="0" applyNumberFormat="1" applyFont="1" applyFill="1" applyBorder="1" applyAlignment="1" applyProtection="1">
      <alignment horizontal="center"/>
    </xf>
    <xf numFmtId="0" fontId="26" fillId="2" borderId="5" xfId="0" applyFont="1" applyFill="1" applyBorder="1" applyAlignment="1" applyProtection="1">
      <alignment horizontal="right"/>
    </xf>
    <xf numFmtId="0" fontId="29" fillId="2" borderId="0" xfId="0" applyFont="1" applyFill="1" applyBorder="1" applyAlignment="1" applyProtection="1">
      <alignment horizontal="center"/>
    </xf>
    <xf numFmtId="0" fontId="26" fillId="2" borderId="14" xfId="0" applyFont="1" applyFill="1" applyBorder="1" applyAlignment="1" applyProtection="1">
      <alignment horizontal="center"/>
    </xf>
    <xf numFmtId="0" fontId="26" fillId="2" borderId="13" xfId="0" applyFont="1" applyFill="1" applyBorder="1" applyAlignment="1" applyProtection="1"/>
    <xf numFmtId="0" fontId="26" fillId="2" borderId="72" xfId="0" applyFont="1" applyFill="1" applyBorder="1" applyAlignment="1" applyProtection="1"/>
    <xf numFmtId="0" fontId="26" fillId="2" borderId="73" xfId="0" applyFont="1" applyFill="1" applyBorder="1" applyAlignment="1" applyProtection="1"/>
    <xf numFmtId="0" fontId="26" fillId="2" borderId="65" xfId="0" applyFont="1" applyFill="1" applyBorder="1" applyAlignment="1" applyProtection="1"/>
    <xf numFmtId="2" fontId="29" fillId="2" borderId="0" xfId="0" applyNumberFormat="1" applyFont="1" applyFill="1" applyBorder="1" applyAlignment="1" applyProtection="1">
      <alignment horizontal="center"/>
    </xf>
    <xf numFmtId="0" fontId="34" fillId="2" borderId="0" xfId="0" applyFont="1" applyFill="1" applyBorder="1" applyAlignment="1" applyProtection="1">
      <alignment horizontal="right"/>
    </xf>
    <xf numFmtId="1" fontId="26" fillId="2" borderId="0" xfId="0" applyNumberFormat="1" applyFont="1" applyFill="1" applyBorder="1" applyProtection="1"/>
    <xf numFmtId="164" fontId="26" fillId="2" borderId="0" xfId="0" applyNumberFormat="1" applyFont="1" applyFill="1" applyBorder="1" applyProtection="1"/>
    <xf numFmtId="0" fontId="34" fillId="2" borderId="7" xfId="0" applyFont="1" applyFill="1" applyBorder="1" applyAlignment="1" applyProtection="1">
      <alignment horizontal="right"/>
    </xf>
    <xf numFmtId="9" fontId="26" fillId="2" borderId="74" xfId="0" applyNumberFormat="1" applyFont="1" applyFill="1" applyBorder="1" applyAlignment="1" applyProtection="1">
      <alignment horizontal="center"/>
    </xf>
    <xf numFmtId="0" fontId="26" fillId="2" borderId="44" xfId="0" applyFont="1" applyFill="1" applyBorder="1" applyAlignment="1" applyProtection="1">
      <alignment horizontal="center"/>
    </xf>
    <xf numFmtId="0" fontId="26" fillId="2" borderId="47" xfId="0" applyFont="1" applyFill="1" applyBorder="1" applyAlignment="1" applyProtection="1">
      <alignment horizontal="left"/>
    </xf>
    <xf numFmtId="0" fontId="26" fillId="2" borderId="50" xfId="0" applyFont="1" applyFill="1" applyBorder="1" applyAlignment="1" applyProtection="1">
      <alignment horizontal="center"/>
    </xf>
    <xf numFmtId="0" fontId="26" fillId="2" borderId="44" xfId="0" applyFont="1" applyFill="1" applyBorder="1" applyAlignment="1" applyProtection="1">
      <alignment horizontal="left"/>
    </xf>
    <xf numFmtId="17" fontId="26" fillId="2" borderId="47" xfId="0" applyNumberFormat="1" applyFont="1" applyFill="1" applyBorder="1" applyAlignment="1" applyProtection="1">
      <alignment horizontal="center"/>
    </xf>
    <xf numFmtId="1" fontId="26" fillId="2" borderId="0" xfId="0" applyNumberFormat="1" applyFont="1" applyFill="1" applyBorder="1"/>
    <xf numFmtId="164" fontId="26" fillId="2" borderId="0" xfId="0" applyNumberFormat="1" applyFont="1" applyFill="1" applyBorder="1"/>
    <xf numFmtId="0" fontId="35" fillId="2" borderId="0" xfId="0" applyNumberFormat="1" applyFont="1" applyFill="1" applyBorder="1" applyAlignment="1" applyProtection="1">
      <alignment horizontal="center"/>
    </xf>
    <xf numFmtId="1" fontId="26" fillId="2" borderId="7" xfId="0" applyNumberFormat="1" applyFont="1" applyFill="1" applyBorder="1"/>
    <xf numFmtId="0" fontId="26" fillId="2" borderId="7" xfId="0" applyNumberFormat="1" applyFont="1" applyFill="1" applyBorder="1"/>
    <xf numFmtId="4" fontId="26" fillId="2" borderId="0" xfId="0" applyNumberFormat="1" applyFont="1" applyFill="1" applyBorder="1" applyAlignment="1"/>
    <xf numFmtId="4" fontId="26" fillId="2" borderId="0" xfId="0" applyNumberFormat="1" applyFont="1" applyFill="1" applyBorder="1" applyAlignment="1">
      <alignment horizontal="center"/>
    </xf>
    <xf numFmtId="1" fontId="45" fillId="2" borderId="0" xfId="0" applyNumberFormat="1" applyFont="1" applyFill="1" applyBorder="1" applyAlignment="1">
      <alignment horizontal="center"/>
    </xf>
    <xf numFmtId="0" fontId="26" fillId="2" borderId="0" xfId="0" applyFont="1" applyFill="1" applyAlignment="1">
      <alignment horizontal="left"/>
    </xf>
    <xf numFmtId="4" fontId="46" fillId="2" borderId="0" xfId="0" applyNumberFormat="1" applyFont="1" applyFill="1" applyBorder="1" applyAlignment="1">
      <alignment horizontal="center"/>
    </xf>
    <xf numFmtId="0" fontId="47" fillId="2" borderId="0" xfId="0" applyNumberFormat="1" applyFont="1" applyFill="1" applyBorder="1" applyAlignment="1">
      <alignment horizontal="center"/>
    </xf>
    <xf numFmtId="17" fontId="26" fillId="2" borderId="0" xfId="0" applyNumberFormat="1" applyFont="1" applyFill="1" applyAlignment="1">
      <alignment horizontal="left"/>
    </xf>
    <xf numFmtId="164" fontId="48" fillId="2" borderId="0" xfId="0" applyNumberFormat="1" applyFont="1" applyFill="1" applyBorder="1"/>
    <xf numFmtId="4" fontId="26" fillId="2" borderId="0" xfId="0" applyNumberFormat="1" applyFont="1" applyFill="1"/>
    <xf numFmtId="1" fontId="26" fillId="2" borderId="0" xfId="0" applyNumberFormat="1" applyFont="1" applyFill="1"/>
    <xf numFmtId="4" fontId="26" fillId="2" borderId="0" xfId="0" applyNumberFormat="1" applyFont="1" applyFill="1" applyAlignment="1">
      <alignment horizontal="center"/>
    </xf>
    <xf numFmtId="0" fontId="26" fillId="2" borderId="0" xfId="0" applyNumberFormat="1" applyFont="1" applyFill="1" applyAlignment="1">
      <alignment horizontal="center"/>
    </xf>
    <xf numFmtId="164" fontId="26" fillId="2" borderId="0" xfId="0" applyNumberFormat="1" applyFont="1" applyFill="1"/>
    <xf numFmtId="4" fontId="26" fillId="2" borderId="0" xfId="0" applyNumberFormat="1" applyFont="1" applyFill="1" applyBorder="1"/>
    <xf numFmtId="0" fontId="26" fillId="2" borderId="0" xfId="0" applyNumberFormat="1" applyFont="1" applyFill="1" applyBorder="1" applyAlignment="1">
      <alignment horizontal="center"/>
    </xf>
    <xf numFmtId="3" fontId="26" fillId="2" borderId="0" xfId="0" applyNumberFormat="1" applyFont="1" applyFill="1" applyAlignment="1">
      <alignment horizontal="center"/>
    </xf>
    <xf numFmtId="2" fontId="29" fillId="2" borderId="0" xfId="0" applyNumberFormat="1" applyFont="1" applyFill="1" applyBorder="1" applyAlignment="1">
      <alignment horizontal="center"/>
    </xf>
    <xf numFmtId="2" fontId="29" fillId="2" borderId="49" xfId="0" applyNumberFormat="1" applyFont="1" applyFill="1" applyBorder="1" applyAlignment="1">
      <alignment horizontal="center"/>
    </xf>
    <xf numFmtId="0" fontId="26" fillId="2" borderId="4" xfId="0" applyFont="1" applyFill="1" applyBorder="1" applyProtection="1"/>
    <xf numFmtId="0" fontId="26" fillId="2" borderId="12" xfId="0" applyFont="1" applyFill="1" applyBorder="1" applyProtection="1"/>
    <xf numFmtId="0" fontId="26" fillId="2" borderId="6" xfId="0" applyFont="1" applyFill="1" applyBorder="1" applyProtection="1"/>
    <xf numFmtId="0" fontId="26" fillId="2" borderId="32" xfId="0" applyFont="1" applyFill="1" applyBorder="1" applyProtection="1"/>
    <xf numFmtId="0" fontId="29" fillId="2" borderId="31" xfId="0" applyFont="1" applyFill="1" applyBorder="1" applyAlignment="1" applyProtection="1">
      <alignment horizontal="center"/>
    </xf>
    <xf numFmtId="0" fontId="34" fillId="2" borderId="0" xfId="0" applyFont="1" applyFill="1" applyBorder="1" applyAlignment="1">
      <alignment horizontal="right"/>
    </xf>
    <xf numFmtId="0" fontId="26" fillId="2" borderId="50" xfId="0" applyFont="1" applyFill="1" applyBorder="1" applyAlignment="1" applyProtection="1">
      <alignment horizontal="left"/>
    </xf>
    <xf numFmtId="4" fontId="0" fillId="0" borderId="0" xfId="0" applyNumberFormat="1" applyFill="1"/>
    <xf numFmtId="0" fontId="0" fillId="0" borderId="0" xfId="0" applyFill="1" applyAlignment="1">
      <alignment horizontal="center"/>
    </xf>
    <xf numFmtId="1" fontId="0" fillId="0" borderId="0" xfId="0" applyNumberFormat="1" applyFill="1"/>
    <xf numFmtId="0" fontId="0" fillId="0" borderId="0" xfId="0" applyFill="1" applyAlignment="1">
      <alignment horizontal="left"/>
    </xf>
    <xf numFmtId="4" fontId="0" fillId="0" borderId="0" xfId="0" applyNumberFormat="1" applyFill="1" applyAlignment="1">
      <alignment horizontal="center"/>
    </xf>
    <xf numFmtId="3" fontId="0" fillId="0" borderId="0" xfId="0" applyNumberFormat="1" applyFill="1" applyAlignment="1">
      <alignment horizontal="center"/>
    </xf>
    <xf numFmtId="164" fontId="0" fillId="0" borderId="0" xfId="0" applyNumberFormat="1" applyFill="1"/>
    <xf numFmtId="0" fontId="26" fillId="2" borderId="7" xfId="0" applyFont="1" applyFill="1" applyBorder="1" applyAlignment="1" applyProtection="1">
      <alignment horizontal="center"/>
    </xf>
    <xf numFmtId="0" fontId="26" fillId="2" borderId="55" xfId="0" applyFont="1" applyFill="1" applyBorder="1" applyProtection="1"/>
    <xf numFmtId="0" fontId="29" fillId="0" borderId="9" xfId="0" applyNumberFormat="1" applyFont="1" applyFill="1" applyBorder="1" applyAlignment="1" applyProtection="1">
      <alignment horizontal="center"/>
      <protection hidden="1"/>
    </xf>
    <xf numFmtId="0" fontId="29" fillId="2" borderId="55" xfId="0" applyFont="1" applyFill="1" applyBorder="1" applyProtection="1"/>
    <xf numFmtId="0" fontId="26" fillId="0" borderId="77" xfId="0" applyFont="1" applyFill="1" applyBorder="1" applyProtection="1"/>
    <xf numFmtId="0" fontId="26" fillId="0" borderId="78" xfId="0" applyFont="1" applyFill="1" applyBorder="1" applyProtection="1"/>
    <xf numFmtId="0" fontId="26" fillId="0" borderId="79" xfId="0" applyFont="1" applyFill="1" applyBorder="1" applyProtection="1"/>
    <xf numFmtId="0" fontId="26" fillId="0" borderId="81" xfId="0" applyFont="1" applyFill="1" applyBorder="1" applyProtection="1"/>
    <xf numFmtId="0" fontId="34" fillId="2" borderId="82" xfId="0" applyFont="1" applyFill="1" applyBorder="1" applyProtection="1"/>
    <xf numFmtId="0" fontId="26" fillId="0" borderId="0" xfId="0" applyFont="1" applyFill="1" applyAlignment="1" applyProtection="1"/>
    <xf numFmtId="0" fontId="29" fillId="0" borderId="0" xfId="0" applyFont="1" applyFill="1" applyBorder="1" applyAlignment="1" applyProtection="1">
      <alignment horizontal="right"/>
    </xf>
    <xf numFmtId="2" fontId="29" fillId="0" borderId="0" xfId="0" applyNumberFormat="1" applyFont="1" applyFill="1" applyBorder="1" applyAlignment="1" applyProtection="1">
      <alignment horizontal="center"/>
    </xf>
    <xf numFmtId="2" fontId="26" fillId="0" borderId="0" xfId="0" applyNumberFormat="1" applyFont="1" applyFill="1" applyBorder="1" applyProtection="1">
      <protection hidden="1"/>
    </xf>
    <xf numFmtId="167" fontId="29" fillId="0" borderId="49" xfId="0" applyNumberFormat="1" applyFont="1" applyFill="1" applyBorder="1" applyAlignment="1" applyProtection="1">
      <alignment horizontal="center"/>
    </xf>
    <xf numFmtId="0" fontId="26" fillId="2" borderId="54" xfId="0" applyFont="1" applyFill="1" applyBorder="1" applyProtection="1"/>
    <xf numFmtId="0" fontId="29" fillId="0" borderId="0" xfId="0" applyFont="1" applyFill="1" applyBorder="1" applyAlignment="1" applyProtection="1"/>
    <xf numFmtId="0" fontId="29" fillId="0" borderId="0" xfId="0" applyFont="1" applyFill="1" applyBorder="1" applyProtection="1"/>
    <xf numFmtId="0" fontId="28" fillId="2" borderId="83" xfId="0" applyFont="1" applyFill="1" applyBorder="1" applyAlignment="1" applyProtection="1">
      <alignment horizontal="center" vertical="center"/>
    </xf>
    <xf numFmtId="0" fontId="27" fillId="2" borderId="83" xfId="0" applyFont="1" applyFill="1" applyBorder="1" applyAlignment="1" applyProtection="1">
      <alignment horizontal="center" vertical="center"/>
      <protection locked="0"/>
    </xf>
    <xf numFmtId="2" fontId="27" fillId="2" borderId="83" xfId="0" applyNumberFormat="1" applyFont="1" applyFill="1" applyBorder="1" applyAlignment="1" applyProtection="1">
      <alignment horizontal="center" vertical="center"/>
      <protection locked="0"/>
    </xf>
    <xf numFmtId="10" fontId="27" fillId="2" borderId="83" xfId="0" applyNumberFormat="1" applyFont="1" applyFill="1" applyBorder="1" applyAlignment="1" applyProtection="1">
      <alignment horizontal="center" vertical="center"/>
      <protection locked="0"/>
    </xf>
    <xf numFmtId="170" fontId="27" fillId="2" borderId="83" xfId="0" applyNumberFormat="1" applyFont="1" applyFill="1" applyBorder="1" applyAlignment="1" applyProtection="1">
      <alignment horizontal="center" vertical="center"/>
      <protection locked="0"/>
    </xf>
    <xf numFmtId="171" fontId="28" fillId="2" borderId="83" xfId="0" applyNumberFormat="1" applyFont="1" applyFill="1" applyBorder="1" applyAlignment="1" applyProtection="1">
      <alignment horizontal="center" vertical="center"/>
    </xf>
    <xf numFmtId="3" fontId="27" fillId="2" borderId="83" xfId="0" applyNumberFormat="1" applyFont="1" applyFill="1" applyBorder="1" applyAlignment="1" applyProtection="1">
      <alignment horizontal="center" vertical="center"/>
      <protection locked="0"/>
    </xf>
    <xf numFmtId="3" fontId="28" fillId="2" borderId="81" xfId="0" applyNumberFormat="1" applyFont="1" applyFill="1" applyBorder="1" applyAlignment="1" applyProtection="1">
      <alignment horizontal="center" vertical="center"/>
    </xf>
    <xf numFmtId="2" fontId="27" fillId="2" borderId="81" xfId="0" applyNumberFormat="1" applyFont="1" applyFill="1" applyBorder="1" applyAlignment="1" applyProtection="1">
      <alignment horizontal="center" vertical="center"/>
      <protection locked="0"/>
    </xf>
    <xf numFmtId="171" fontId="28" fillId="2" borderId="81" xfId="0" applyNumberFormat="1" applyFont="1" applyFill="1" applyBorder="1" applyAlignment="1" applyProtection="1">
      <alignment horizontal="center" vertical="center"/>
    </xf>
    <xf numFmtId="0" fontId="27" fillId="2" borderId="98" xfId="0" applyFont="1" applyFill="1" applyBorder="1" applyAlignment="1" applyProtection="1">
      <alignment vertical="center"/>
      <protection locked="0"/>
    </xf>
    <xf numFmtId="0" fontId="27" fillId="2" borderId="95" xfId="0" applyFont="1" applyFill="1" applyBorder="1" applyAlignment="1" applyProtection="1">
      <alignment vertical="center"/>
      <protection locked="0"/>
    </xf>
    <xf numFmtId="0" fontId="27" fillId="2" borderId="95" xfId="0" applyFont="1" applyFill="1" applyBorder="1" applyAlignment="1" applyProtection="1">
      <alignment horizontal="left" vertical="center"/>
      <protection locked="0"/>
    </xf>
    <xf numFmtId="14" fontId="27" fillId="2" borderId="95" xfId="0" applyNumberFormat="1" applyFont="1" applyFill="1" applyBorder="1" applyAlignment="1" applyProtection="1">
      <alignment horizontal="left" vertical="center"/>
      <protection locked="0"/>
    </xf>
    <xf numFmtId="14" fontId="27" fillId="2" borderId="80" xfId="0" applyNumberFormat="1" applyFont="1" applyFill="1" applyBorder="1" applyAlignment="1" applyProtection="1">
      <alignment horizontal="left" vertical="center"/>
      <protection locked="0"/>
    </xf>
    <xf numFmtId="0" fontId="29" fillId="2" borderId="1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left"/>
    </xf>
    <xf numFmtId="0" fontId="29" fillId="2" borderId="0" xfId="0" applyFont="1" applyFill="1" applyBorder="1" applyAlignment="1">
      <alignment horizontal="center"/>
    </xf>
    <xf numFmtId="0" fontId="10" fillId="2" borderId="3" xfId="0" applyFont="1" applyFill="1" applyBorder="1" applyAlignment="1"/>
    <xf numFmtId="0" fontId="29" fillId="2" borderId="38" xfId="0" applyFont="1" applyFill="1" applyBorder="1" applyAlignment="1">
      <alignment horizontal="left"/>
    </xf>
    <xf numFmtId="0" fontId="10" fillId="2" borderId="38" xfId="0" applyFont="1" applyFill="1" applyBorder="1" applyAlignment="1"/>
    <xf numFmtId="0" fontId="29" fillId="2" borderId="0" xfId="0" applyFont="1" applyFill="1"/>
    <xf numFmtId="0" fontId="9" fillId="2" borderId="5" xfId="0" applyFont="1" applyFill="1" applyBorder="1" applyAlignment="1"/>
    <xf numFmtId="0" fontId="16" fillId="2" borderId="5" xfId="0" applyFont="1" applyFill="1" applyBorder="1" applyAlignment="1"/>
    <xf numFmtId="9" fontId="16" fillId="2" borderId="5" xfId="0" applyNumberFormat="1" applyFont="1" applyFill="1" applyBorder="1" applyAlignment="1"/>
    <xf numFmtId="0" fontId="26" fillId="2" borderId="6" xfId="0" applyFont="1" applyFill="1" applyBorder="1"/>
    <xf numFmtId="0" fontId="0" fillId="0" borderId="2" xfId="0" applyFill="1" applyBorder="1"/>
    <xf numFmtId="0" fontId="31" fillId="2" borderId="7" xfId="0" applyFont="1" applyFill="1" applyBorder="1" applyAlignment="1" applyProtection="1"/>
    <xf numFmtId="0" fontId="31" fillId="2" borderId="22" xfId="0" applyFont="1" applyFill="1" applyBorder="1" applyAlignment="1" applyProtection="1">
      <alignment horizontal="center"/>
    </xf>
    <xf numFmtId="0" fontId="26" fillId="2" borderId="62" xfId="0" applyFont="1" applyFill="1" applyBorder="1" applyProtection="1"/>
    <xf numFmtId="0" fontId="26" fillId="2" borderId="63" xfId="0" applyFont="1" applyFill="1" applyBorder="1" applyProtection="1"/>
    <xf numFmtId="0" fontId="26" fillId="2" borderId="5" xfId="0" applyFont="1" applyFill="1" applyBorder="1" applyAlignment="1" applyProtection="1">
      <alignment horizontal="left"/>
    </xf>
    <xf numFmtId="0" fontId="26" fillId="2" borderId="8" xfId="0" applyFont="1" applyFill="1" applyBorder="1" applyProtection="1"/>
    <xf numFmtId="0" fontId="26" fillId="2" borderId="1" xfId="0" applyFont="1" applyFill="1" applyBorder="1" applyProtection="1"/>
    <xf numFmtId="0" fontId="26" fillId="2" borderId="3" xfId="0" applyFont="1" applyFill="1" applyBorder="1" applyProtection="1"/>
    <xf numFmtId="0" fontId="29" fillId="2" borderId="38" xfId="0" applyFont="1" applyFill="1" applyBorder="1" applyAlignment="1" applyProtection="1">
      <alignment horizontal="center"/>
    </xf>
    <xf numFmtId="0" fontId="29" fillId="2" borderId="5" xfId="0" applyFont="1" applyFill="1" applyBorder="1" applyAlignment="1" applyProtection="1">
      <alignment horizontal="center"/>
    </xf>
    <xf numFmtId="0" fontId="29" fillId="2" borderId="4" xfId="0" applyFont="1" applyFill="1" applyBorder="1" applyAlignment="1" applyProtection="1">
      <alignment horizontal="center"/>
    </xf>
    <xf numFmtId="0" fontId="26" fillId="2" borderId="20" xfId="0" applyFont="1" applyFill="1" applyBorder="1" applyProtection="1"/>
    <xf numFmtId="0" fontId="26" fillId="2" borderId="38" xfId="0" applyFont="1" applyFill="1" applyBorder="1" applyProtection="1"/>
    <xf numFmtId="2" fontId="26" fillId="2" borderId="21" xfId="0" applyNumberFormat="1" applyFont="1" applyFill="1" applyBorder="1" applyAlignment="1" applyProtection="1">
      <alignment horizontal="center"/>
    </xf>
    <xf numFmtId="2" fontId="26" fillId="2" borderId="4" xfId="0" applyNumberFormat="1" applyFont="1" applyFill="1" applyBorder="1" applyAlignment="1" applyProtection="1">
      <alignment horizontal="center"/>
    </xf>
    <xf numFmtId="2" fontId="26" fillId="2" borderId="20" xfId="0" applyNumberFormat="1" applyFont="1" applyFill="1" applyBorder="1" applyAlignment="1" applyProtection="1">
      <alignment horizontal="center"/>
    </xf>
    <xf numFmtId="165" fontId="26" fillId="2" borderId="5" xfId="0" applyNumberFormat="1" applyFont="1" applyFill="1" applyBorder="1" applyAlignment="1" applyProtection="1">
      <alignment horizontal="right"/>
    </xf>
    <xf numFmtId="2" fontId="26" fillId="2" borderId="2" xfId="0" applyNumberFormat="1" applyFont="1" applyFill="1" applyBorder="1" applyAlignment="1" applyProtection="1">
      <alignment horizontal="center"/>
    </xf>
    <xf numFmtId="0" fontId="29" fillId="2" borderId="20" xfId="0" applyFont="1" applyFill="1" applyBorder="1" applyAlignment="1" applyProtection="1">
      <alignment vertical="center"/>
    </xf>
    <xf numFmtId="0" fontId="29" fillId="2" borderId="0" xfId="0" applyFont="1" applyFill="1" applyBorder="1" applyProtection="1"/>
    <xf numFmtId="2" fontId="29" fillId="2" borderId="20" xfId="0" applyNumberFormat="1" applyFont="1" applyFill="1" applyBorder="1" applyAlignment="1" applyProtection="1">
      <alignment horizontal="center" vertical="center"/>
    </xf>
    <xf numFmtId="2" fontId="29" fillId="2" borderId="4" xfId="0" applyNumberFormat="1" applyFont="1" applyFill="1" applyBorder="1" applyAlignment="1" applyProtection="1">
      <alignment horizontal="center" vertical="center"/>
    </xf>
    <xf numFmtId="2" fontId="29" fillId="2" borderId="38" xfId="0" applyNumberFormat="1" applyFont="1" applyFill="1" applyBorder="1" applyAlignment="1" applyProtection="1">
      <alignment horizontal="center" vertical="center"/>
    </xf>
    <xf numFmtId="2" fontId="29" fillId="2" borderId="0" xfId="0" applyNumberFormat="1" applyFont="1" applyFill="1" applyBorder="1" applyAlignment="1" applyProtection="1">
      <alignment horizontal="center" vertical="center"/>
    </xf>
    <xf numFmtId="2" fontId="29" fillId="2" borderId="5" xfId="0" applyNumberFormat="1" applyFont="1" applyFill="1" applyBorder="1" applyAlignment="1" applyProtection="1">
      <alignment horizontal="center" vertical="center"/>
    </xf>
    <xf numFmtId="164" fontId="29" fillId="2" borderId="5" xfId="0" applyNumberFormat="1" applyFont="1" applyFill="1" applyBorder="1" applyAlignment="1" applyProtection="1">
      <alignment horizontal="right"/>
    </xf>
    <xf numFmtId="0" fontId="29" fillId="2" borderId="16" xfId="0" applyFont="1" applyFill="1" applyBorder="1" applyAlignment="1" applyProtection="1"/>
    <xf numFmtId="0" fontId="29" fillId="2" borderId="3" xfId="0" applyFont="1" applyFill="1" applyBorder="1" applyAlignment="1" applyProtection="1"/>
    <xf numFmtId="0" fontId="29" fillId="2" borderId="38" xfId="0" applyFont="1" applyFill="1" applyBorder="1" applyAlignment="1" applyProtection="1">
      <alignment horizontal="center" wrapText="1"/>
    </xf>
    <xf numFmtId="0" fontId="26" fillId="2" borderId="5" xfId="0" applyFont="1" applyFill="1" applyBorder="1" applyAlignment="1" applyProtection="1">
      <alignment vertical="center"/>
    </xf>
    <xf numFmtId="0" fontId="26" fillId="2" borderId="38" xfId="0" applyFont="1" applyFill="1" applyBorder="1" applyAlignment="1" applyProtection="1">
      <alignment vertical="center"/>
    </xf>
    <xf numFmtId="0" fontId="26" fillId="2" borderId="16" xfId="0" applyFont="1" applyFill="1" applyBorder="1" applyAlignment="1" applyProtection="1">
      <alignment vertical="center"/>
    </xf>
    <xf numFmtId="0" fontId="26" fillId="2" borderId="0" xfId="0" applyFont="1" applyFill="1" applyBorder="1" applyAlignment="1" applyProtection="1">
      <alignment vertical="center"/>
    </xf>
    <xf numFmtId="0" fontId="26" fillId="2" borderId="20" xfId="0" applyFont="1" applyFill="1" applyBorder="1" applyAlignment="1" applyProtection="1">
      <alignment horizontal="center"/>
    </xf>
    <xf numFmtId="14" fontId="26" fillId="2" borderId="38" xfId="0" applyNumberFormat="1" applyFont="1" applyFill="1" applyBorder="1" applyAlignment="1" applyProtection="1"/>
    <xf numFmtId="14" fontId="26" fillId="2" borderId="38" xfId="0" applyNumberFormat="1" applyFont="1" applyFill="1" applyBorder="1" applyAlignment="1" applyProtection="1">
      <alignment horizontal="center"/>
    </xf>
    <xf numFmtId="14" fontId="26" fillId="2" borderId="4" xfId="0" applyNumberFormat="1" applyFont="1" applyFill="1" applyBorder="1" applyAlignment="1" applyProtection="1"/>
    <xf numFmtId="14" fontId="26" fillId="2" borderId="5" xfId="0" applyNumberFormat="1" applyFont="1" applyFill="1" applyBorder="1" applyAlignment="1" applyProtection="1">
      <alignment horizontal="center"/>
    </xf>
    <xf numFmtId="0" fontId="26" fillId="2" borderId="2" xfId="0" applyFont="1" applyFill="1" applyBorder="1" applyAlignment="1" applyProtection="1">
      <alignment vertical="center"/>
    </xf>
    <xf numFmtId="14" fontId="26" fillId="2" borderId="7" xfId="0" applyNumberFormat="1" applyFont="1" applyFill="1" applyBorder="1" applyAlignment="1" applyProtection="1">
      <alignment horizontal="center"/>
    </xf>
    <xf numFmtId="0" fontId="26" fillId="2" borderId="2" xfId="0" applyFont="1" applyFill="1" applyBorder="1" applyAlignment="1" applyProtection="1">
      <alignment horizontal="center" vertical="center"/>
    </xf>
    <xf numFmtId="0" fontId="26" fillId="2" borderId="16" xfId="0" applyFont="1" applyFill="1" applyBorder="1" applyAlignment="1" applyProtection="1">
      <alignment horizontal="center" vertical="center"/>
    </xf>
    <xf numFmtId="14" fontId="26" fillId="2" borderId="16" xfId="0" applyNumberFormat="1" applyFont="1" applyFill="1" applyBorder="1" applyAlignment="1" applyProtection="1">
      <alignment horizontal="center" vertical="center"/>
    </xf>
    <xf numFmtId="0" fontId="34" fillId="2" borderId="6" xfId="0" applyFont="1" applyFill="1" applyBorder="1" applyAlignment="1" applyProtection="1">
      <alignment horizontal="right"/>
    </xf>
    <xf numFmtId="0" fontId="26" fillId="2" borderId="59" xfId="0" applyFont="1" applyFill="1" applyBorder="1" applyProtection="1"/>
    <xf numFmtId="0" fontId="26" fillId="2" borderId="60" xfId="0" applyFont="1" applyFill="1" applyBorder="1" applyProtection="1"/>
    <xf numFmtId="0" fontId="26" fillId="2" borderId="4" xfId="0" applyFont="1" applyFill="1" applyBorder="1" applyAlignment="1" applyProtection="1">
      <alignment horizontal="right"/>
    </xf>
    <xf numFmtId="9" fontId="35" fillId="2" borderId="0" xfId="0" applyNumberFormat="1" applyFont="1" applyFill="1" applyBorder="1" applyAlignment="1" applyProtection="1">
      <alignment horizontal="center"/>
    </xf>
    <xf numFmtId="0" fontId="35" fillId="2" borderId="0" xfId="0" applyFont="1" applyFill="1" applyBorder="1" applyAlignment="1" applyProtection="1">
      <alignment horizontal="center"/>
    </xf>
    <xf numFmtId="0" fontId="35" fillId="2" borderId="7" xfId="0" applyFont="1" applyFill="1" applyBorder="1" applyAlignment="1" applyProtection="1">
      <alignment horizontal="center"/>
    </xf>
    <xf numFmtId="0" fontId="29" fillId="2" borderId="4" xfId="0" applyFont="1" applyFill="1" applyBorder="1" applyAlignment="1" applyProtection="1">
      <alignment horizontal="right"/>
    </xf>
    <xf numFmtId="3" fontId="29" fillId="2" borderId="39" xfId="0" applyNumberFormat="1" applyFont="1" applyFill="1" applyBorder="1" applyAlignment="1" applyProtection="1">
      <alignment horizontal="center"/>
    </xf>
    <xf numFmtId="0" fontId="26" fillId="2" borderId="15" xfId="0" applyFont="1" applyFill="1" applyBorder="1" applyAlignment="1" applyProtection="1">
      <alignment horizontal="center"/>
    </xf>
    <xf numFmtId="0" fontId="26" fillId="2" borderId="11" xfId="0" applyFont="1" applyFill="1" applyBorder="1" applyAlignment="1" applyProtection="1">
      <alignment horizontal="center"/>
    </xf>
    <xf numFmtId="3" fontId="26" fillId="2" borderId="0" xfId="0" applyNumberFormat="1" applyFont="1" applyFill="1" applyBorder="1" applyAlignment="1" applyProtection="1">
      <alignment horizontal="center"/>
    </xf>
    <xf numFmtId="9" fontId="26" fillId="2" borderId="0" xfId="0" applyNumberFormat="1" applyFont="1" applyFill="1" applyBorder="1" applyAlignment="1" applyProtection="1">
      <alignment horizontal="center"/>
    </xf>
    <xf numFmtId="0" fontId="26" fillId="2" borderId="12" xfId="0" applyFont="1" applyFill="1" applyBorder="1" applyAlignment="1">
      <alignment horizontal="center"/>
    </xf>
    <xf numFmtId="0" fontId="26" fillId="2" borderId="33" xfId="0" applyFont="1" applyFill="1" applyBorder="1" applyProtection="1"/>
    <xf numFmtId="2" fontId="26" fillId="2" borderId="7" xfId="0" applyNumberFormat="1" applyFont="1" applyFill="1" applyBorder="1" applyProtection="1"/>
    <xf numFmtId="2" fontId="26" fillId="2" borderId="2" xfId="0" applyNumberFormat="1" applyFont="1" applyFill="1" applyBorder="1" applyProtection="1"/>
    <xf numFmtId="0" fontId="26" fillId="2" borderId="12" xfId="0" applyFont="1" applyFill="1" applyBorder="1" applyAlignment="1" applyProtection="1">
      <alignment horizontal="center"/>
    </xf>
    <xf numFmtId="0" fontId="29" fillId="2" borderId="6" xfId="0" applyFont="1" applyFill="1" applyBorder="1" applyAlignment="1" applyProtection="1">
      <alignment horizontal="right"/>
    </xf>
    <xf numFmtId="4" fontId="26" fillId="2" borderId="7" xfId="0" applyNumberFormat="1" applyFont="1" applyFill="1" applyBorder="1" applyAlignment="1" applyProtection="1">
      <alignment horizontal="center"/>
    </xf>
    <xf numFmtId="2" fontId="36" fillId="2" borderId="7" xfId="0" applyNumberFormat="1" applyFont="1" applyFill="1" applyBorder="1" applyAlignment="1" applyProtection="1">
      <alignment horizontal="center"/>
    </xf>
    <xf numFmtId="164" fontId="36" fillId="2" borderId="7" xfId="0" applyNumberFormat="1" applyFont="1" applyFill="1" applyBorder="1" applyAlignment="1" applyProtection="1">
      <alignment horizontal="center"/>
    </xf>
    <xf numFmtId="0" fontId="26" fillId="0" borderId="0" xfId="0" applyFont="1" applyFill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2" fontId="29" fillId="2" borderId="39" xfId="0" applyNumberFormat="1" applyFont="1" applyFill="1" applyBorder="1" applyAlignment="1" applyProtection="1"/>
    <xf numFmtId="0" fontId="26" fillId="2" borderId="13" xfId="0" applyFont="1" applyFill="1" applyBorder="1" applyProtection="1"/>
    <xf numFmtId="0" fontId="26" fillId="2" borderId="32" xfId="0" applyFont="1" applyFill="1" applyBorder="1" applyAlignment="1" applyProtection="1">
      <alignment horizontal="center"/>
    </xf>
    <xf numFmtId="2" fontId="29" fillId="2" borderId="47" xfId="0" applyNumberFormat="1" applyFont="1" applyFill="1" applyBorder="1" applyAlignment="1" applyProtection="1">
      <alignment horizontal="center"/>
    </xf>
    <xf numFmtId="0" fontId="26" fillId="2" borderId="37" xfId="0" applyFont="1" applyFill="1" applyBorder="1" applyProtection="1"/>
    <xf numFmtId="0" fontId="8" fillId="2" borderId="1" xfId="0" applyFont="1" applyFill="1" applyBorder="1" applyProtection="1"/>
    <xf numFmtId="0" fontId="8" fillId="2" borderId="2" xfId="0" applyFont="1" applyFill="1" applyBorder="1" applyAlignment="1" applyProtection="1">
      <alignment horizontal="center"/>
    </xf>
    <xf numFmtId="0" fontId="8" fillId="2" borderId="2" xfId="0" applyFont="1" applyFill="1" applyBorder="1" applyProtection="1"/>
    <xf numFmtId="167" fontId="8" fillId="2" borderId="2" xfId="0" applyNumberFormat="1" applyFont="1" applyFill="1" applyBorder="1" applyAlignment="1" applyProtection="1">
      <alignment horizontal="center"/>
    </xf>
    <xf numFmtId="165" fontId="8" fillId="2" borderId="2" xfId="0" applyNumberFormat="1" applyFont="1" applyFill="1" applyBorder="1" applyAlignment="1" applyProtection="1">
      <alignment horizontal="center"/>
    </xf>
    <xf numFmtId="0" fontId="8" fillId="2" borderId="3" xfId="0" applyFont="1" applyFill="1" applyBorder="1" applyProtection="1"/>
    <xf numFmtId="0" fontId="8" fillId="2" borderId="4" xfId="0" applyFont="1" applyFill="1" applyBorder="1" applyProtection="1"/>
    <xf numFmtId="0" fontId="8" fillId="2" borderId="6" xfId="0" applyFont="1" applyFill="1" applyBorder="1" applyProtection="1"/>
    <xf numFmtId="0" fontId="4" fillId="2" borderId="7" xfId="0" applyFont="1" applyFill="1" applyBorder="1" applyAlignment="1" applyProtection="1">
      <alignment horizontal="center"/>
    </xf>
    <xf numFmtId="165" fontId="4" fillId="2" borderId="7" xfId="0" applyNumberFormat="1" applyFont="1" applyFill="1" applyBorder="1" applyAlignment="1" applyProtection="1">
      <alignment horizontal="center"/>
    </xf>
    <xf numFmtId="0" fontId="8" fillId="2" borderId="8" xfId="0" applyFont="1" applyFill="1" applyBorder="1" applyProtection="1"/>
    <xf numFmtId="0" fontId="29" fillId="2" borderId="1" xfId="0" applyFont="1" applyFill="1" applyBorder="1" applyAlignment="1" applyProtection="1">
      <alignment horizontal="right"/>
    </xf>
    <xf numFmtId="166" fontId="40" fillId="2" borderId="2" xfId="0" applyNumberFormat="1" applyFont="1" applyFill="1" applyBorder="1" applyAlignment="1" applyProtection="1">
      <alignment horizontal="center"/>
    </xf>
    <xf numFmtId="166" fontId="26" fillId="2" borderId="2" xfId="0" applyNumberFormat="1" applyFont="1" applyFill="1" applyBorder="1" applyProtection="1"/>
    <xf numFmtId="166" fontId="26" fillId="2" borderId="2" xfId="0" applyNumberFormat="1" applyFont="1" applyFill="1" applyBorder="1" applyAlignment="1" applyProtection="1">
      <alignment horizontal="center"/>
    </xf>
    <xf numFmtId="167" fontId="41" fillId="2" borderId="2" xfId="0" applyNumberFormat="1" applyFont="1" applyFill="1" applyBorder="1" applyAlignment="1" applyProtection="1">
      <alignment horizontal="center"/>
    </xf>
    <xf numFmtId="166" fontId="36" fillId="2" borderId="2" xfId="0" applyNumberFormat="1" applyFont="1" applyFill="1" applyBorder="1" applyAlignment="1" applyProtection="1">
      <alignment horizontal="center"/>
    </xf>
    <xf numFmtId="165" fontId="26" fillId="2" borderId="2" xfId="0" applyNumberFormat="1" applyFont="1" applyFill="1" applyBorder="1" applyAlignment="1" applyProtection="1">
      <alignment horizontal="center"/>
    </xf>
    <xf numFmtId="3" fontId="29" fillId="2" borderId="61" xfId="0" applyNumberFormat="1" applyFont="1" applyFill="1" applyBorder="1" applyAlignment="1" applyProtection="1">
      <alignment horizontal="center"/>
    </xf>
    <xf numFmtId="10" fontId="29" fillId="2" borderId="11" xfId="0" applyNumberFormat="1" applyFont="1" applyFill="1" applyBorder="1" applyAlignment="1" applyProtection="1">
      <alignment horizontal="center"/>
    </xf>
    <xf numFmtId="165" fontId="29" fillId="2" borderId="0" xfId="0" applyNumberFormat="1" applyFont="1" applyFill="1" applyBorder="1" applyAlignment="1" applyProtection="1"/>
    <xf numFmtId="10" fontId="29" fillId="2" borderId="0" xfId="0" applyNumberFormat="1" applyFont="1" applyFill="1" applyBorder="1" applyAlignment="1" applyProtection="1">
      <alignment horizontal="center"/>
    </xf>
    <xf numFmtId="0" fontId="26" fillId="2" borderId="33" xfId="0" applyFont="1" applyFill="1" applyBorder="1" applyAlignment="1" applyProtection="1">
      <alignment horizontal="center"/>
    </xf>
    <xf numFmtId="165" fontId="26" fillId="2" borderId="7" xfId="0" applyNumberFormat="1" applyFont="1" applyFill="1" applyBorder="1" applyAlignment="1" applyProtection="1">
      <alignment horizontal="center"/>
    </xf>
    <xf numFmtId="0" fontId="29" fillId="2" borderId="4" xfId="0" applyFont="1" applyFill="1" applyBorder="1" applyAlignment="1" applyProtection="1">
      <alignment horizontal="right" vertical="center"/>
    </xf>
    <xf numFmtId="2" fontId="26" fillId="2" borderId="43" xfId="0" applyNumberFormat="1" applyFont="1" applyFill="1" applyBorder="1" applyAlignment="1" applyProtection="1">
      <alignment horizontal="center"/>
    </xf>
    <xf numFmtId="1" fontId="42" fillId="2" borderId="0" xfId="0" applyNumberFormat="1" applyFont="1" applyFill="1" applyBorder="1" applyAlignment="1" applyProtection="1">
      <alignment horizontal="center"/>
    </xf>
    <xf numFmtId="167" fontId="29" fillId="2" borderId="0" xfId="0" applyNumberFormat="1" applyFont="1" applyFill="1" applyBorder="1" applyAlignment="1" applyProtection="1">
      <alignment horizontal="center"/>
    </xf>
    <xf numFmtId="167" fontId="26" fillId="2" borderId="43" xfId="0" applyNumberFormat="1" applyFont="1" applyFill="1" applyBorder="1" applyAlignment="1" applyProtection="1">
      <alignment horizontal="center"/>
    </xf>
    <xf numFmtId="0" fontId="26" fillId="2" borderId="6" xfId="0" applyFont="1" applyFill="1" applyBorder="1" applyAlignment="1" applyProtection="1">
      <alignment horizontal="right"/>
    </xf>
    <xf numFmtId="0" fontId="26" fillId="2" borderId="1" xfId="0" applyFont="1" applyFill="1" applyBorder="1" applyAlignment="1" applyProtection="1">
      <alignment horizontal="right"/>
    </xf>
    <xf numFmtId="2" fontId="26" fillId="2" borderId="46" xfId="0" applyNumberFormat="1" applyFont="1" applyFill="1" applyBorder="1" applyAlignment="1" applyProtection="1">
      <alignment horizontal="center"/>
    </xf>
    <xf numFmtId="0" fontId="26" fillId="2" borderId="51" xfId="0" applyFont="1" applyFill="1" applyBorder="1" applyProtection="1"/>
    <xf numFmtId="0" fontId="26" fillId="2" borderId="59" xfId="0" applyFont="1" applyFill="1" applyBorder="1" applyAlignment="1" applyProtection="1">
      <alignment horizontal="center"/>
    </xf>
    <xf numFmtId="165" fontId="26" fillId="2" borderId="59" xfId="0" applyNumberFormat="1" applyFont="1" applyFill="1" applyBorder="1" applyAlignment="1" applyProtection="1">
      <alignment horizontal="center"/>
    </xf>
    <xf numFmtId="2" fontId="26" fillId="2" borderId="44" xfId="0" applyNumberFormat="1" applyFont="1" applyFill="1" applyBorder="1" applyAlignment="1" applyProtection="1">
      <alignment horizontal="center"/>
    </xf>
    <xf numFmtId="0" fontId="26" fillId="2" borderId="58" xfId="0" applyFont="1" applyFill="1" applyBorder="1" applyAlignment="1" applyProtection="1"/>
    <xf numFmtId="0" fontId="26" fillId="2" borderId="44" xfId="0" applyFont="1" applyFill="1" applyBorder="1" applyAlignment="1" applyProtection="1">
      <alignment horizontal="right"/>
    </xf>
    <xf numFmtId="2" fontId="29" fillId="2" borderId="44" xfId="0" applyNumberFormat="1" applyFont="1" applyFill="1" applyBorder="1" applyAlignment="1" applyProtection="1">
      <alignment horizontal="center"/>
    </xf>
    <xf numFmtId="0" fontId="32" fillId="2" borderId="1" xfId="0" applyFont="1" applyFill="1" applyBorder="1" applyProtection="1"/>
    <xf numFmtId="0" fontId="32" fillId="2" borderId="3" xfId="0" applyFont="1" applyFill="1" applyBorder="1" applyProtection="1"/>
    <xf numFmtId="0" fontId="32" fillId="2" borderId="4" xfId="0" applyFont="1" applyFill="1" applyBorder="1" applyProtection="1"/>
    <xf numFmtId="0" fontId="26" fillId="2" borderId="0" xfId="0" applyFont="1" applyFill="1" applyBorder="1" applyAlignment="1" applyProtection="1">
      <alignment horizontal="center" vertical="center"/>
    </xf>
    <xf numFmtId="2" fontId="51" fillId="2" borderId="25" xfId="0" applyNumberFormat="1" applyFont="1" applyFill="1" applyBorder="1" applyAlignment="1" applyProtection="1">
      <alignment horizontal="center"/>
    </xf>
    <xf numFmtId="2" fontId="29" fillId="2" borderId="25" xfId="0" applyNumberFormat="1" applyFont="1" applyFill="1" applyBorder="1" applyAlignment="1" applyProtection="1">
      <alignment horizontal="center"/>
    </xf>
    <xf numFmtId="2" fontId="26" fillId="2" borderId="0" xfId="0" applyNumberFormat="1" applyFont="1" applyFill="1" applyBorder="1" applyAlignment="1" applyProtection="1">
      <alignment horizontal="left"/>
    </xf>
    <xf numFmtId="0" fontId="26" fillId="2" borderId="4" xfId="0" applyFont="1" applyFill="1" applyBorder="1" applyAlignment="1" applyProtection="1">
      <alignment horizontal="left"/>
    </xf>
    <xf numFmtId="0" fontId="0" fillId="2" borderId="1" xfId="0" applyFill="1" applyBorder="1"/>
    <xf numFmtId="1" fontId="26" fillId="2" borderId="2" xfId="0" applyNumberFormat="1" applyFont="1" applyFill="1" applyBorder="1" applyProtection="1"/>
    <xf numFmtId="164" fontId="26" fillId="2" borderId="2" xfId="0" applyNumberFormat="1" applyFont="1" applyFill="1" applyBorder="1" applyProtection="1"/>
    <xf numFmtId="0" fontId="0" fillId="2" borderId="3" xfId="0" applyFill="1" applyBorder="1" applyProtection="1"/>
    <xf numFmtId="0" fontId="0" fillId="2" borderId="6" xfId="0" applyFill="1" applyBorder="1"/>
    <xf numFmtId="1" fontId="26" fillId="2" borderId="7" xfId="0" applyNumberFormat="1" applyFont="1" applyFill="1" applyBorder="1" applyProtection="1"/>
    <xf numFmtId="164" fontId="26" fillId="2" borderId="7" xfId="0" applyNumberFormat="1" applyFont="1" applyFill="1" applyBorder="1" applyProtection="1"/>
    <xf numFmtId="0" fontId="0" fillId="2" borderId="8" xfId="0" applyFill="1" applyBorder="1" applyProtection="1"/>
    <xf numFmtId="0" fontId="34" fillId="2" borderId="2" xfId="0" applyFont="1" applyFill="1" applyBorder="1" applyProtection="1"/>
    <xf numFmtId="0" fontId="29" fillId="2" borderId="47" xfId="0" applyFont="1" applyFill="1" applyBorder="1" applyAlignment="1" applyProtection="1">
      <alignment horizontal="center"/>
    </xf>
    <xf numFmtId="1" fontId="29" fillId="2" borderId="0" xfId="0" applyNumberFormat="1" applyFont="1" applyFill="1" applyBorder="1" applyAlignment="1" applyProtection="1">
      <alignment horizontal="center"/>
    </xf>
    <xf numFmtId="171" fontId="43" fillId="2" borderId="0" xfId="0" applyNumberFormat="1" applyFont="1" applyFill="1" applyBorder="1" applyAlignment="1" applyProtection="1">
      <alignment horizontal="center"/>
      <protection hidden="1"/>
    </xf>
    <xf numFmtId="10" fontId="44" fillId="2" borderId="73" xfId="0" applyNumberFormat="1" applyFont="1" applyFill="1" applyBorder="1" applyAlignment="1" applyProtection="1">
      <alignment horizontal="left"/>
    </xf>
    <xf numFmtId="171" fontId="44" fillId="2" borderId="0" xfId="0" applyNumberFormat="1" applyFont="1" applyFill="1" applyBorder="1" applyAlignment="1" applyProtection="1">
      <alignment horizontal="left"/>
    </xf>
    <xf numFmtId="1" fontId="36" fillId="2" borderId="0" xfId="0" applyNumberFormat="1" applyFont="1" applyFill="1" applyBorder="1" applyAlignment="1" applyProtection="1">
      <alignment horizontal="center"/>
    </xf>
    <xf numFmtId="0" fontId="8" fillId="2" borderId="4" xfId="0" applyFont="1" applyFill="1" applyBorder="1"/>
    <xf numFmtId="1" fontId="45" fillId="2" borderId="0" xfId="0" applyNumberFormat="1" applyFont="1" applyFill="1" applyBorder="1" applyAlignment="1" applyProtection="1">
      <alignment horizontal="center"/>
    </xf>
    <xf numFmtId="4" fontId="46" fillId="2" borderId="0" xfId="0" applyNumberFormat="1" applyFont="1" applyFill="1" applyBorder="1" applyAlignment="1" applyProtection="1">
      <alignment horizontal="center"/>
    </xf>
    <xf numFmtId="0" fontId="26" fillId="2" borderId="14" xfId="0" applyFont="1" applyFill="1" applyBorder="1" applyAlignment="1" applyProtection="1">
      <alignment horizontal="left"/>
    </xf>
    <xf numFmtId="0" fontId="34" fillId="2" borderId="0" xfId="0" applyFont="1" applyFill="1" applyBorder="1" applyAlignment="1" applyProtection="1">
      <alignment horizontal="center"/>
    </xf>
    <xf numFmtId="1" fontId="29" fillId="2" borderId="49" xfId="0" applyNumberFormat="1" applyFont="1" applyFill="1" applyBorder="1" applyAlignment="1" applyProtection="1">
      <alignment horizontal="center"/>
    </xf>
    <xf numFmtId="0" fontId="29" fillId="2" borderId="49" xfId="0" applyNumberFormat="1" applyFont="1" applyFill="1" applyBorder="1" applyAlignment="1" applyProtection="1">
      <alignment horizontal="center"/>
    </xf>
    <xf numFmtId="2" fontId="26" fillId="2" borderId="49" xfId="0" applyNumberFormat="1" applyFont="1" applyFill="1" applyBorder="1" applyAlignment="1" applyProtection="1">
      <alignment horizontal="center"/>
    </xf>
    <xf numFmtId="4" fontId="50" fillId="2" borderId="0" xfId="0" applyNumberFormat="1" applyFont="1" applyFill="1" applyBorder="1" applyAlignment="1" applyProtection="1">
      <alignment horizontal="center"/>
    </xf>
    <xf numFmtId="0" fontId="47" fillId="2" borderId="0" xfId="0" applyNumberFormat="1" applyFont="1" applyFill="1" applyBorder="1" applyAlignment="1" applyProtection="1">
      <alignment horizontal="center"/>
    </xf>
    <xf numFmtId="2" fontId="48" fillId="2" borderId="0" xfId="0" applyNumberFormat="1" applyFont="1" applyFill="1" applyBorder="1" applyAlignment="1" applyProtection="1">
      <alignment horizontal="center"/>
    </xf>
    <xf numFmtId="0" fontId="29" fillId="2" borderId="49" xfId="0" applyNumberFormat="1" applyFont="1" applyFill="1" applyBorder="1" applyAlignment="1" applyProtection="1">
      <alignment horizontal="center"/>
      <protection hidden="1"/>
    </xf>
    <xf numFmtId="0" fontId="8" fillId="2" borderId="6" xfId="0" applyFont="1" applyFill="1" applyBorder="1"/>
    <xf numFmtId="3" fontId="35" fillId="2" borderId="7" xfId="0" applyNumberFormat="1" applyFont="1" applyFill="1" applyBorder="1" applyAlignment="1" applyProtection="1">
      <alignment horizontal="center"/>
    </xf>
    <xf numFmtId="0" fontId="2" fillId="2" borderId="8" xfId="0" applyFont="1" applyFill="1" applyBorder="1" applyProtection="1"/>
    <xf numFmtId="0" fontId="8" fillId="2" borderId="1" xfId="0" applyFont="1" applyFill="1" applyBorder="1"/>
    <xf numFmtId="10" fontId="29" fillId="2" borderId="2" xfId="0" applyNumberFormat="1" applyFont="1" applyFill="1" applyBorder="1" applyAlignment="1" applyProtection="1">
      <alignment horizontal="center"/>
    </xf>
    <xf numFmtId="2" fontId="29" fillId="2" borderId="2" xfId="0" applyNumberFormat="1" applyFont="1" applyFill="1" applyBorder="1" applyAlignment="1" applyProtection="1">
      <alignment horizontal="center"/>
    </xf>
    <xf numFmtId="0" fontId="2" fillId="2" borderId="3" xfId="0" applyFont="1" applyFill="1" applyBorder="1" applyProtection="1"/>
    <xf numFmtId="10" fontId="26" fillId="2" borderId="0" xfId="0" applyNumberFormat="1" applyFont="1" applyFill="1" applyBorder="1" applyAlignment="1" applyProtection="1">
      <alignment horizontal="center"/>
    </xf>
    <xf numFmtId="1" fontId="29" fillId="2" borderId="47" xfId="0" applyNumberFormat="1" applyFont="1" applyFill="1" applyBorder="1" applyAlignment="1" applyProtection="1">
      <alignment horizontal="center"/>
    </xf>
    <xf numFmtId="9" fontId="26" fillId="2" borderId="72" xfId="0" applyNumberFormat="1" applyFont="1" applyFill="1" applyBorder="1" applyAlignment="1" applyProtection="1">
      <alignment horizontal="center"/>
    </xf>
    <xf numFmtId="0" fontId="29" fillId="2" borderId="15" xfId="0" applyFont="1" applyFill="1" applyBorder="1" applyAlignment="1" applyProtection="1"/>
    <xf numFmtId="0" fontId="29" fillId="2" borderId="11" xfId="0" applyFont="1" applyFill="1" applyBorder="1" applyAlignment="1" applyProtection="1"/>
    <xf numFmtId="4" fontId="26" fillId="2" borderId="0" xfId="0" applyNumberFormat="1" applyFont="1" applyFill="1" applyBorder="1" applyProtection="1"/>
    <xf numFmtId="4" fontId="49" fillId="2" borderId="0" xfId="0" applyNumberFormat="1" applyFont="1" applyFill="1" applyBorder="1" applyAlignment="1" applyProtection="1">
      <alignment horizontal="center"/>
    </xf>
    <xf numFmtId="0" fontId="26" fillId="2" borderId="73" xfId="0" applyFont="1" applyFill="1" applyBorder="1" applyAlignment="1" applyProtection="1">
      <alignment horizontal="left"/>
    </xf>
    <xf numFmtId="4" fontId="35" fillId="2" borderId="0" xfId="0" applyNumberFormat="1" applyFont="1" applyFill="1" applyBorder="1" applyAlignment="1" applyProtection="1">
      <alignment horizontal="center"/>
    </xf>
    <xf numFmtId="1" fontId="35" fillId="2" borderId="0" xfId="0" applyNumberFormat="1" applyFont="1" applyFill="1" applyBorder="1" applyAlignment="1" applyProtection="1">
      <alignment horizontal="center"/>
    </xf>
    <xf numFmtId="17" fontId="26" fillId="2" borderId="0" xfId="0" applyNumberFormat="1" applyFont="1" applyFill="1" applyBorder="1" applyAlignment="1" applyProtection="1">
      <alignment horizontal="center"/>
    </xf>
    <xf numFmtId="0" fontId="8" fillId="2" borderId="7" xfId="0" applyFont="1" applyFill="1" applyBorder="1"/>
    <xf numFmtId="0" fontId="34" fillId="2" borderId="0" xfId="0" applyFont="1" applyFill="1" applyBorder="1" applyProtection="1"/>
    <xf numFmtId="0" fontId="26" fillId="2" borderId="0" xfId="0" applyNumberFormat="1" applyFont="1" applyFill="1" applyBorder="1" applyAlignment="1" applyProtection="1">
      <alignment horizontal="center"/>
    </xf>
    <xf numFmtId="0" fontId="26" fillId="2" borderId="2" xfId="0" applyNumberFormat="1" applyFont="1" applyFill="1" applyBorder="1" applyAlignment="1" applyProtection="1">
      <alignment horizontal="center"/>
    </xf>
    <xf numFmtId="0" fontId="26" fillId="2" borderId="1" xfId="0" applyFont="1" applyFill="1" applyBorder="1"/>
    <xf numFmtId="164" fontId="26" fillId="2" borderId="59" xfId="0" applyNumberFormat="1" applyFont="1" applyFill="1" applyBorder="1"/>
    <xf numFmtId="0" fontId="26" fillId="2" borderId="59" xfId="0" applyFont="1" applyFill="1" applyBorder="1"/>
    <xf numFmtId="0" fontId="18" fillId="2" borderId="3" xfId="0" applyFont="1" applyFill="1" applyBorder="1"/>
    <xf numFmtId="0" fontId="26" fillId="2" borderId="4" xfId="0" applyFont="1" applyFill="1" applyBorder="1" applyAlignment="1">
      <alignment horizontal="center"/>
    </xf>
    <xf numFmtId="0" fontId="26" fillId="2" borderId="58" xfId="0" applyFont="1" applyFill="1" applyBorder="1" applyAlignment="1">
      <alignment horizontal="center"/>
    </xf>
    <xf numFmtId="0" fontId="17" fillId="2" borderId="60" xfId="0" applyFont="1" applyFill="1" applyBorder="1"/>
    <xf numFmtId="2" fontId="29" fillId="2" borderId="53" xfId="0" applyNumberFormat="1" applyFont="1" applyFill="1" applyBorder="1" applyAlignment="1">
      <alignment horizontal="center"/>
    </xf>
    <xf numFmtId="0" fontId="29" fillId="2" borderId="53" xfId="0" applyFont="1" applyFill="1" applyBorder="1"/>
    <xf numFmtId="0" fontId="17" fillId="2" borderId="5" xfId="0" applyFont="1" applyFill="1" applyBorder="1"/>
    <xf numFmtId="0" fontId="26" fillId="2" borderId="6" xfId="0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2" fontId="48" fillId="2" borderId="7" xfId="0" applyNumberFormat="1" applyFont="1" applyFill="1" applyBorder="1" applyAlignment="1">
      <alignment horizontal="center"/>
    </xf>
    <xf numFmtId="0" fontId="18" fillId="2" borderId="8" xfId="0" applyFont="1" applyFill="1" applyBorder="1"/>
    <xf numFmtId="0" fontId="0" fillId="2" borderId="1" xfId="0" applyFill="1" applyBorder="1" applyProtection="1"/>
    <xf numFmtId="0" fontId="0" fillId="2" borderId="4" xfId="0" applyFill="1" applyBorder="1" applyProtection="1"/>
    <xf numFmtId="0" fontId="7" fillId="2" borderId="4" xfId="0" applyFont="1" applyFill="1" applyBorder="1" applyProtection="1"/>
    <xf numFmtId="0" fontId="0" fillId="2" borderId="6" xfId="0" applyFill="1" applyBorder="1" applyProtection="1"/>
    <xf numFmtId="0" fontId="29" fillId="2" borderId="49" xfId="0" applyFont="1" applyFill="1" applyBorder="1" applyAlignment="1" applyProtection="1">
      <alignment horizontal="center"/>
    </xf>
    <xf numFmtId="2" fontId="29" fillId="2" borderId="9" xfId="0" applyNumberFormat="1" applyFont="1" applyFill="1" applyBorder="1" applyAlignment="1" applyProtection="1">
      <alignment horizontal="center"/>
    </xf>
    <xf numFmtId="10" fontId="29" fillId="2" borderId="9" xfId="0" applyNumberFormat="1" applyFont="1" applyFill="1" applyBorder="1" applyAlignment="1" applyProtection="1">
      <alignment horizontal="center"/>
    </xf>
    <xf numFmtId="2" fontId="36" fillId="2" borderId="0" xfId="0" applyNumberFormat="1" applyFont="1" applyFill="1" applyBorder="1" applyProtection="1"/>
    <xf numFmtId="0" fontId="29" fillId="2" borderId="9" xfId="0" applyFont="1" applyFill="1" applyBorder="1" applyAlignment="1" applyProtection="1">
      <alignment horizontal="center"/>
    </xf>
    <xf numFmtId="2" fontId="26" fillId="2" borderId="0" xfId="0" applyNumberFormat="1" applyFont="1" applyFill="1" applyBorder="1" applyAlignment="1" applyProtection="1">
      <alignment horizontal="center" vertical="center"/>
    </xf>
    <xf numFmtId="9" fontId="29" fillId="2" borderId="9" xfId="0" applyNumberFormat="1" applyFont="1" applyFill="1" applyBorder="1" applyAlignment="1" applyProtection="1">
      <alignment horizontal="center"/>
    </xf>
    <xf numFmtId="169" fontId="26" fillId="2" borderId="0" xfId="0" applyNumberFormat="1" applyFont="1" applyFill="1" applyBorder="1" applyProtection="1">
      <protection hidden="1"/>
    </xf>
    <xf numFmtId="0" fontId="29" fillId="2" borderId="9" xfId="0" applyNumberFormat="1" applyFont="1" applyFill="1" applyBorder="1" applyAlignment="1" applyProtection="1">
      <alignment horizontal="center"/>
      <protection hidden="1"/>
    </xf>
    <xf numFmtId="0" fontId="36" fillId="2" borderId="0" xfId="0" applyFont="1" applyFill="1" applyBorder="1" applyAlignment="1" applyProtection="1">
      <alignment horizontal="center"/>
    </xf>
    <xf numFmtId="0" fontId="26" fillId="2" borderId="77" xfId="0" applyFont="1" applyFill="1" applyBorder="1" applyProtection="1"/>
    <xf numFmtId="0" fontId="26" fillId="2" borderId="78" xfId="0" applyFont="1" applyFill="1" applyBorder="1" applyProtection="1"/>
    <xf numFmtId="0" fontId="26" fillId="2" borderId="78" xfId="0" applyFont="1" applyFill="1" applyBorder="1"/>
    <xf numFmtId="0" fontId="26" fillId="2" borderId="79" xfId="0" applyFont="1" applyFill="1" applyBorder="1" applyProtection="1"/>
    <xf numFmtId="0" fontId="26" fillId="2" borderId="81" xfId="0" applyFont="1" applyFill="1" applyBorder="1" applyProtection="1"/>
    <xf numFmtId="0" fontId="26" fillId="2" borderId="81" xfId="0" applyFont="1" applyFill="1" applyBorder="1"/>
    <xf numFmtId="0" fontId="26" fillId="2" borderId="81" xfId="0" applyFont="1" applyFill="1" applyBorder="1" applyAlignment="1" applyProtection="1">
      <alignment horizontal="center"/>
    </xf>
    <xf numFmtId="2" fontId="34" fillId="2" borderId="81" xfId="0" applyNumberFormat="1" applyFont="1" applyFill="1" applyBorder="1" applyProtection="1"/>
    <xf numFmtId="2" fontId="26" fillId="2" borderId="0" xfId="0" applyNumberFormat="1" applyFont="1" applyFill="1" applyBorder="1" applyProtection="1">
      <protection hidden="1"/>
    </xf>
    <xf numFmtId="167" fontId="29" fillId="2" borderId="49" xfId="0" applyNumberFormat="1" applyFont="1" applyFill="1" applyBorder="1" applyAlignment="1" applyProtection="1">
      <alignment horizontal="center"/>
    </xf>
    <xf numFmtId="0" fontId="26" fillId="2" borderId="36" xfId="0" applyFont="1" applyFill="1" applyBorder="1" applyProtection="1"/>
    <xf numFmtId="165" fontId="29" fillId="2" borderId="49" xfId="0" applyNumberFormat="1" applyFont="1" applyFill="1" applyBorder="1" applyAlignment="1" applyProtection="1">
      <alignment horizontal="center"/>
    </xf>
    <xf numFmtId="2" fontId="26" fillId="2" borderId="80" xfId="0" applyNumberFormat="1" applyFont="1" applyFill="1" applyBorder="1" applyProtection="1"/>
    <xf numFmtId="164" fontId="29" fillId="2" borderId="49" xfId="0" applyNumberFormat="1" applyFont="1" applyFill="1" applyBorder="1" applyAlignment="1" applyProtection="1">
      <alignment horizontal="center"/>
    </xf>
    <xf numFmtId="0" fontId="26" fillId="2" borderId="49" xfId="0" applyFont="1" applyFill="1" applyBorder="1" applyProtection="1"/>
    <xf numFmtId="3" fontId="29" fillId="2" borderId="49" xfId="0" applyNumberFormat="1" applyFont="1" applyFill="1" applyBorder="1" applyAlignment="1" applyProtection="1">
      <alignment horizontal="center"/>
    </xf>
    <xf numFmtId="0" fontId="0" fillId="0" borderId="4" xfId="0" applyFill="1" applyBorder="1"/>
    <xf numFmtId="0" fontId="26" fillId="0" borderId="4" xfId="0" applyFont="1" applyFill="1" applyBorder="1"/>
    <xf numFmtId="0" fontId="34" fillId="0" borderId="82" xfId="0" applyFont="1" applyFill="1" applyBorder="1" applyProtection="1"/>
    <xf numFmtId="0" fontId="26" fillId="0" borderId="78" xfId="0" applyFont="1" applyFill="1" applyBorder="1"/>
    <xf numFmtId="0" fontId="26" fillId="0" borderId="0" xfId="0" applyFont="1" applyFill="1" applyAlignment="1"/>
    <xf numFmtId="0" fontId="26" fillId="0" borderId="81" xfId="0" applyFont="1" applyFill="1" applyBorder="1"/>
    <xf numFmtId="0" fontId="26" fillId="0" borderId="81" xfId="0" applyFont="1" applyFill="1" applyBorder="1" applyAlignment="1" applyProtection="1">
      <alignment horizontal="center"/>
    </xf>
    <xf numFmtId="2" fontId="34" fillId="0" borderId="81" xfId="0" applyNumberFormat="1" applyFont="1" applyFill="1" applyBorder="1" applyProtection="1"/>
    <xf numFmtId="167" fontId="34" fillId="0" borderId="81" xfId="0" applyNumberFormat="1" applyFont="1" applyFill="1" applyBorder="1" applyProtection="1"/>
    <xf numFmtId="0" fontId="26" fillId="2" borderId="98" xfId="0" applyFont="1" applyFill="1" applyBorder="1" applyProtection="1"/>
    <xf numFmtId="0" fontId="26" fillId="2" borderId="101" xfId="0" applyFont="1" applyFill="1" applyBorder="1" applyProtection="1"/>
    <xf numFmtId="0" fontId="26" fillId="2" borderId="101" xfId="0" applyFont="1" applyFill="1" applyBorder="1"/>
    <xf numFmtId="0" fontId="26" fillId="2" borderId="97" xfId="0" applyFont="1" applyFill="1" applyBorder="1" applyProtection="1"/>
    <xf numFmtId="0" fontId="26" fillId="2" borderId="34" xfId="0" applyFont="1" applyFill="1" applyBorder="1" applyProtection="1"/>
    <xf numFmtId="0" fontId="2" fillId="2" borderId="3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9" fillId="2" borderId="100" xfId="0" applyFont="1" applyFill="1" applyBorder="1" applyAlignment="1" applyProtection="1">
      <alignment vertical="center"/>
    </xf>
    <xf numFmtId="0" fontId="29" fillId="2" borderId="99" xfId="0" applyFont="1" applyFill="1" applyBorder="1" applyAlignment="1" applyProtection="1">
      <alignment vertical="center" wrapText="1"/>
    </xf>
    <xf numFmtId="0" fontId="26" fillId="2" borderId="83" xfId="0" applyFont="1" applyFill="1" applyBorder="1" applyAlignment="1" applyProtection="1">
      <alignment vertical="center"/>
    </xf>
    <xf numFmtId="0" fontId="26" fillId="2" borderId="97" xfId="0" applyFont="1" applyFill="1" applyBorder="1" applyAlignment="1" applyProtection="1">
      <alignment vertical="center" wrapText="1"/>
    </xf>
    <xf numFmtId="0" fontId="26" fillId="2" borderId="96" xfId="0" applyFont="1" applyFill="1" applyBorder="1" applyAlignment="1" applyProtection="1">
      <alignment vertical="center" wrapText="1"/>
    </xf>
    <xf numFmtId="0" fontId="14" fillId="2" borderId="5" xfId="0" applyFont="1" applyFill="1" applyBorder="1" applyAlignment="1" applyProtection="1">
      <alignment horizontal="center" vertical="center"/>
    </xf>
    <xf numFmtId="0" fontId="26" fillId="2" borderId="81" xfId="0" applyFont="1" applyFill="1" applyBorder="1" applyAlignment="1" applyProtection="1">
      <alignment vertical="center"/>
    </xf>
    <xf numFmtId="0" fontId="26" fillId="2" borderId="82" xfId="0" applyFont="1" applyFill="1" applyBorder="1" applyAlignment="1" applyProtection="1">
      <alignment vertical="center" wrapText="1"/>
    </xf>
    <xf numFmtId="0" fontId="9" fillId="2" borderId="5" xfId="0" applyFont="1" applyFill="1" applyBorder="1" applyAlignment="1" applyProtection="1">
      <alignment horizontal="center" vertical="center"/>
    </xf>
    <xf numFmtId="0" fontId="26" fillId="2" borderId="98" xfId="0" applyFont="1" applyFill="1" applyBorder="1" applyAlignment="1" applyProtection="1">
      <alignment vertical="center"/>
    </xf>
    <xf numFmtId="0" fontId="27" fillId="2" borderId="83" xfId="0" applyFont="1" applyFill="1" applyBorder="1" applyAlignment="1" applyProtection="1">
      <alignment horizontal="center" vertical="center"/>
    </xf>
    <xf numFmtId="0" fontId="26" fillId="2" borderId="97" xfId="0" applyFont="1" applyFill="1" applyBorder="1" applyAlignment="1" applyProtection="1">
      <alignment horizontal="left" vertical="center" wrapText="1"/>
    </xf>
    <xf numFmtId="0" fontId="26" fillId="2" borderId="95" xfId="0" applyFont="1" applyFill="1" applyBorder="1" applyAlignment="1" applyProtection="1">
      <alignment vertical="center"/>
    </xf>
    <xf numFmtId="0" fontId="26" fillId="2" borderId="96" xfId="0" applyFont="1" applyFill="1" applyBorder="1" applyAlignment="1" applyProtection="1">
      <alignment horizontal="left" vertical="center" wrapText="1"/>
    </xf>
    <xf numFmtId="0" fontId="12" fillId="2" borderId="5" xfId="0" applyFont="1" applyFill="1" applyBorder="1" applyAlignment="1" applyProtection="1">
      <alignment horizontal="center" vertical="center"/>
    </xf>
    <xf numFmtId="0" fontId="13" fillId="2" borderId="5" xfId="0" applyFont="1" applyFill="1" applyBorder="1" applyAlignment="1" applyProtection="1">
      <alignment horizontal="center" vertical="center"/>
    </xf>
    <xf numFmtId="0" fontId="26" fillId="2" borderId="80" xfId="0" applyFont="1" applyFill="1" applyBorder="1" applyAlignment="1" applyProtection="1">
      <alignment vertical="center"/>
    </xf>
    <xf numFmtId="0" fontId="28" fillId="2" borderId="81" xfId="0" applyFont="1" applyFill="1" applyBorder="1" applyAlignment="1" applyProtection="1">
      <alignment horizontal="center" vertical="center"/>
    </xf>
    <xf numFmtId="0" fontId="26" fillId="2" borderId="82" xfId="0" applyFont="1" applyFill="1" applyBorder="1" applyAlignment="1" applyProtection="1">
      <alignment horizontal="left" vertical="center" wrapText="1"/>
    </xf>
    <xf numFmtId="10" fontId="27" fillId="2" borderId="83" xfId="0" applyNumberFormat="1" applyFont="1" applyFill="1" applyBorder="1" applyAlignment="1" applyProtection="1">
      <alignment horizontal="center" vertical="center"/>
    </xf>
    <xf numFmtId="9" fontId="26" fillId="2" borderId="96" xfId="0" applyNumberFormat="1" applyFont="1" applyFill="1" applyBorder="1" applyAlignment="1" applyProtection="1">
      <alignment horizontal="left" vertical="center" wrapText="1"/>
    </xf>
    <xf numFmtId="10" fontId="26" fillId="2" borderId="96" xfId="0" applyNumberFormat="1" applyFont="1" applyFill="1" applyBorder="1" applyAlignment="1" applyProtection="1">
      <alignment horizontal="left" vertical="center" wrapText="1"/>
    </xf>
    <xf numFmtId="0" fontId="26" fillId="2" borderId="80" xfId="0" applyFont="1" applyFill="1" applyBorder="1" applyProtection="1"/>
    <xf numFmtId="0" fontId="26" fillId="2" borderId="82" xfId="0" applyFont="1" applyFill="1" applyBorder="1" applyAlignment="1" applyProtection="1">
      <alignment wrapText="1"/>
    </xf>
    <xf numFmtId="3" fontId="26" fillId="2" borderId="97" xfId="0" applyNumberFormat="1" applyFont="1" applyFill="1" applyBorder="1" applyAlignment="1" applyProtection="1">
      <alignment horizontal="left" vertical="center" wrapText="1"/>
    </xf>
    <xf numFmtId="3" fontId="26" fillId="2" borderId="82" xfId="0" applyNumberFormat="1" applyFont="1" applyFill="1" applyBorder="1" applyAlignment="1" applyProtection="1">
      <alignment horizontal="left" vertical="center" wrapText="1"/>
    </xf>
    <xf numFmtId="10" fontId="26" fillId="2" borderId="97" xfId="0" applyNumberFormat="1" applyFont="1" applyFill="1" applyBorder="1" applyAlignment="1" applyProtection="1">
      <alignment horizontal="left" vertical="center" wrapText="1"/>
    </xf>
    <xf numFmtId="0" fontId="26" fillId="2" borderId="98" xfId="0" applyFont="1" applyFill="1" applyBorder="1" applyAlignment="1" applyProtection="1">
      <alignment horizontal="left" vertical="center"/>
    </xf>
    <xf numFmtId="9" fontId="26" fillId="2" borderId="82" xfId="0" applyNumberFormat="1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center" vertical="center"/>
    </xf>
    <xf numFmtId="164" fontId="28" fillId="2" borderId="83" xfId="0" applyNumberFormat="1" applyFont="1" applyFill="1" applyBorder="1" applyAlignment="1" applyProtection="1">
      <alignment horizontal="center" vertical="center"/>
    </xf>
    <xf numFmtId="0" fontId="29" fillId="2" borderId="21" xfId="0" applyFont="1" applyFill="1" applyBorder="1" applyAlignment="1" applyProtection="1">
      <alignment horizontal="center" vertical="center" wrapText="1"/>
    </xf>
    <xf numFmtId="0" fontId="14" fillId="2" borderId="11" xfId="0" applyFont="1" applyFill="1" applyBorder="1" applyAlignment="1" applyProtection="1">
      <alignment vertical="center"/>
    </xf>
    <xf numFmtId="0" fontId="27" fillId="2" borderId="95" xfId="0" applyFont="1" applyFill="1" applyBorder="1" applyAlignment="1" applyProtection="1">
      <alignment horizontal="left" vertical="center" wrapText="1"/>
      <protection locked="0"/>
    </xf>
    <xf numFmtId="0" fontId="27" fillId="2" borderId="95" xfId="0" applyFont="1" applyFill="1" applyBorder="1" applyAlignment="1" applyProtection="1">
      <alignment vertical="center" wrapText="1"/>
      <protection locked="0"/>
    </xf>
    <xf numFmtId="0" fontId="26" fillId="2" borderId="12" xfId="0" applyFont="1" applyFill="1" applyBorder="1" applyAlignment="1" applyProtection="1">
      <alignment horizontal="right" vertical="center"/>
    </xf>
    <xf numFmtId="0" fontId="19" fillId="2" borderId="0" xfId="0" applyFont="1" applyFill="1" applyAlignment="1">
      <alignment horizontal="left" vertical="center" wrapText="1"/>
    </xf>
    <xf numFmtId="0" fontId="14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21" fillId="2" borderId="0" xfId="0" applyFont="1" applyFill="1" applyBorder="1" applyAlignment="1">
      <alignment horizontal="left"/>
    </xf>
    <xf numFmtId="0" fontId="21" fillId="2" borderId="89" xfId="0" applyFont="1" applyFill="1" applyBorder="1" applyAlignment="1">
      <alignment horizontal="left"/>
    </xf>
    <xf numFmtId="0" fontId="2" fillId="3" borderId="86" xfId="0" applyFont="1" applyFill="1" applyBorder="1" applyAlignment="1">
      <alignment horizontal="left"/>
    </xf>
    <xf numFmtId="0" fontId="2" fillId="3" borderId="87" xfId="0" applyFont="1" applyFill="1" applyBorder="1" applyAlignment="1">
      <alignment horizontal="left"/>
    </xf>
    <xf numFmtId="0" fontId="2" fillId="3" borderId="91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2" fillId="2" borderId="86" xfId="0" applyFont="1" applyFill="1" applyBorder="1" applyAlignment="1">
      <alignment horizontal="left"/>
    </xf>
    <xf numFmtId="0" fontId="2" fillId="2" borderId="87" xfId="0" applyFont="1" applyFill="1" applyBorder="1" applyAlignment="1">
      <alignment horizontal="left"/>
    </xf>
    <xf numFmtId="0" fontId="2" fillId="2" borderId="84" xfId="0" applyFont="1" applyFill="1" applyBorder="1" applyAlignment="1">
      <alignment horizontal="left"/>
    </xf>
    <xf numFmtId="0" fontId="0" fillId="3" borderId="88" xfId="0" applyFill="1" applyBorder="1" applyAlignment="1">
      <alignment horizontal="left"/>
    </xf>
    <xf numFmtId="0" fontId="0" fillId="3" borderId="89" xfId="0" applyFill="1" applyBorder="1" applyAlignment="1">
      <alignment horizontal="left"/>
    </xf>
    <xf numFmtId="0" fontId="0" fillId="3" borderId="90" xfId="0" applyFill="1" applyBorder="1" applyAlignment="1">
      <alignment horizontal="left"/>
    </xf>
    <xf numFmtId="0" fontId="2" fillId="2" borderId="91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left"/>
    </xf>
    <xf numFmtId="0" fontId="0" fillId="2" borderId="88" xfId="0" applyFill="1" applyBorder="1" applyAlignment="1">
      <alignment horizontal="left"/>
    </xf>
    <xf numFmtId="0" fontId="0" fillId="2" borderId="89" xfId="0" applyFill="1" applyBorder="1" applyAlignment="1">
      <alignment horizontal="left"/>
    </xf>
    <xf numFmtId="0" fontId="0" fillId="2" borderId="90" xfId="0" applyFill="1" applyBorder="1" applyAlignment="1">
      <alignment horizontal="left"/>
    </xf>
    <xf numFmtId="0" fontId="2" fillId="2" borderId="88" xfId="0" applyFont="1" applyFill="1" applyBorder="1" applyAlignment="1">
      <alignment horizontal="left"/>
    </xf>
    <xf numFmtId="0" fontId="2" fillId="2" borderId="90" xfId="0" applyFont="1" applyFill="1" applyBorder="1" applyAlignment="1">
      <alignment horizontal="left"/>
    </xf>
    <xf numFmtId="0" fontId="23" fillId="2" borderId="89" xfId="2" applyFill="1" applyBorder="1" applyAlignment="1">
      <alignment horizontal="left"/>
    </xf>
    <xf numFmtId="0" fontId="2" fillId="2" borderId="89" xfId="0" applyFont="1" applyFill="1" applyBorder="1" applyAlignment="1">
      <alignment horizontal="left"/>
    </xf>
    <xf numFmtId="14" fontId="0" fillId="2" borderId="89" xfId="0" applyNumberFormat="1" applyFill="1" applyBorder="1" applyAlignment="1">
      <alignment horizontal="left"/>
    </xf>
    <xf numFmtId="0" fontId="0" fillId="2" borderId="91" xfId="0" applyFill="1" applyBorder="1" applyAlignment="1">
      <alignment horizontal="left"/>
    </xf>
    <xf numFmtId="0" fontId="0" fillId="2" borderId="0" xfId="0" applyFill="1" applyBorder="1" applyAlignment="1">
      <alignment horizontal="left"/>
    </xf>
    <xf numFmtId="0" fontId="0" fillId="2" borderId="88" xfId="0" applyFill="1" applyBorder="1" applyAlignment="1">
      <alignment horizontal="center"/>
    </xf>
    <xf numFmtId="0" fontId="0" fillId="2" borderId="89" xfId="0" applyFill="1" applyBorder="1" applyAlignment="1">
      <alignment horizontal="center"/>
    </xf>
    <xf numFmtId="0" fontId="0" fillId="2" borderId="90" xfId="0" applyFill="1" applyBorder="1" applyAlignment="1">
      <alignment horizontal="center"/>
    </xf>
    <xf numFmtId="0" fontId="2" fillId="2" borderId="85" xfId="0" applyFont="1" applyFill="1" applyBorder="1" applyAlignment="1">
      <alignment horizontal="left"/>
    </xf>
    <xf numFmtId="0" fontId="0" fillId="2" borderId="14" xfId="0" applyFill="1" applyBorder="1" applyAlignment="1">
      <alignment horizontal="center"/>
    </xf>
    <xf numFmtId="0" fontId="0" fillId="2" borderId="93" xfId="0" applyFill="1" applyBorder="1" applyAlignment="1">
      <alignment horizontal="center"/>
    </xf>
    <xf numFmtId="0" fontId="2" fillId="3" borderId="88" xfId="0" applyFont="1" applyFill="1" applyBorder="1" applyAlignment="1">
      <alignment horizontal="left"/>
    </xf>
    <xf numFmtId="0" fontId="2" fillId="3" borderId="89" xfId="0" applyFont="1" applyFill="1" applyBorder="1" applyAlignment="1">
      <alignment horizontal="left"/>
    </xf>
    <xf numFmtId="0" fontId="0" fillId="2" borderId="53" xfId="0" applyFill="1" applyBorder="1" applyAlignment="1">
      <alignment horizontal="center"/>
    </xf>
    <xf numFmtId="0" fontId="0" fillId="2" borderId="94" xfId="0" applyFill="1" applyBorder="1" applyAlignment="1">
      <alignment horizontal="center"/>
    </xf>
    <xf numFmtId="0" fontId="39" fillId="2" borderId="0" xfId="0" applyFont="1" applyFill="1" applyBorder="1" applyAlignment="1" applyProtection="1">
      <alignment horizontal="center" vertical="center"/>
    </xf>
    <xf numFmtId="0" fontId="39" fillId="2" borderId="12" xfId="0" applyFont="1" applyFill="1" applyBorder="1" applyAlignment="1" applyProtection="1">
      <alignment horizontal="center" vertical="center"/>
    </xf>
    <xf numFmtId="0" fontId="26" fillId="2" borderId="18" xfId="0" applyFont="1" applyFill="1" applyBorder="1" applyAlignment="1">
      <alignment horizontal="left"/>
    </xf>
    <xf numFmtId="0" fontId="26" fillId="2" borderId="16" xfId="0" applyFont="1" applyFill="1" applyBorder="1" applyAlignment="1">
      <alignment horizontal="left"/>
    </xf>
    <xf numFmtId="0" fontId="26" fillId="2" borderId="19" xfId="0" applyFont="1" applyFill="1" applyBorder="1" applyAlignment="1">
      <alignment horizontal="left"/>
    </xf>
    <xf numFmtId="0" fontId="26" fillId="2" borderId="4" xfId="0" applyFont="1" applyFill="1" applyBorder="1" applyAlignment="1">
      <alignment horizontal="left"/>
    </xf>
    <xf numFmtId="0" fontId="26" fillId="2" borderId="0" xfId="0" applyFont="1" applyFill="1" applyBorder="1" applyAlignment="1">
      <alignment horizontal="left"/>
    </xf>
    <xf numFmtId="0" fontId="26" fillId="2" borderId="5" xfId="0" applyFont="1" applyFill="1" applyBorder="1" applyAlignment="1">
      <alignment horizontal="left"/>
    </xf>
    <xf numFmtId="9" fontId="26" fillId="2" borderId="18" xfId="0" applyNumberFormat="1" applyFont="1" applyFill="1" applyBorder="1" applyAlignment="1">
      <alignment horizontal="left"/>
    </xf>
    <xf numFmtId="9" fontId="26" fillId="2" borderId="16" xfId="0" applyNumberFormat="1" applyFont="1" applyFill="1" applyBorder="1" applyAlignment="1">
      <alignment horizontal="left"/>
    </xf>
    <xf numFmtId="9" fontId="26" fillId="2" borderId="19" xfId="0" applyNumberFormat="1" applyFont="1" applyFill="1" applyBorder="1" applyAlignment="1">
      <alignment horizontal="left"/>
    </xf>
    <xf numFmtId="9" fontId="26" fillId="2" borderId="6" xfId="0" applyNumberFormat="1" applyFont="1" applyFill="1" applyBorder="1" applyAlignment="1">
      <alignment horizontal="left"/>
    </xf>
    <xf numFmtId="9" fontId="26" fillId="2" borderId="7" xfId="0" applyNumberFormat="1" applyFont="1" applyFill="1" applyBorder="1" applyAlignment="1">
      <alignment horizontal="left"/>
    </xf>
    <xf numFmtId="9" fontId="26" fillId="2" borderId="8" xfId="0" applyNumberFormat="1" applyFont="1" applyFill="1" applyBorder="1" applyAlignment="1">
      <alignment horizontal="left"/>
    </xf>
    <xf numFmtId="0" fontId="29" fillId="2" borderId="18" xfId="0" applyFont="1" applyFill="1" applyBorder="1" applyAlignment="1">
      <alignment horizontal="left"/>
    </xf>
    <xf numFmtId="0" fontId="29" fillId="2" borderId="16" xfId="0" applyFont="1" applyFill="1" applyBorder="1" applyAlignment="1">
      <alignment horizontal="left"/>
    </xf>
    <xf numFmtId="0" fontId="29" fillId="2" borderId="19" xfId="0" applyFont="1" applyFill="1" applyBorder="1" applyAlignment="1">
      <alignment horizontal="left"/>
    </xf>
    <xf numFmtId="0" fontId="29" fillId="2" borderId="7" xfId="0" applyFont="1" applyFill="1" applyBorder="1" applyAlignment="1">
      <alignment horizontal="left"/>
    </xf>
    <xf numFmtId="0" fontId="31" fillId="2" borderId="0" xfId="0" applyFont="1" applyFill="1" applyAlignment="1">
      <alignment horizontal="center" vertical="center"/>
    </xf>
    <xf numFmtId="0" fontId="26" fillId="2" borderId="2" xfId="0" applyFont="1" applyFill="1" applyBorder="1" applyAlignment="1" applyProtection="1">
      <alignment horizontal="center"/>
    </xf>
    <xf numFmtId="0" fontId="31" fillId="2" borderId="0" xfId="0" applyFont="1" applyFill="1" applyBorder="1" applyAlignment="1" applyProtection="1">
      <alignment horizontal="center"/>
    </xf>
    <xf numFmtId="0" fontId="29" fillId="2" borderId="18" xfId="0" applyFont="1" applyFill="1" applyBorder="1" applyAlignment="1" applyProtection="1">
      <alignment horizontal="center"/>
    </xf>
    <xf numFmtId="0" fontId="29" fillId="2" borderId="16" xfId="0" applyFont="1" applyFill="1" applyBorder="1" applyAlignment="1" applyProtection="1">
      <alignment horizontal="center"/>
    </xf>
    <xf numFmtId="0" fontId="29" fillId="2" borderId="19" xfId="0" applyFont="1" applyFill="1" applyBorder="1" applyAlignment="1" applyProtection="1">
      <alignment horizontal="center"/>
    </xf>
    <xf numFmtId="2" fontId="26" fillId="2" borderId="38" xfId="0" applyNumberFormat="1" applyFont="1" applyFill="1" applyBorder="1" applyAlignment="1" applyProtection="1">
      <alignment horizontal="center"/>
    </xf>
    <xf numFmtId="2" fontId="26" fillId="2" borderId="4" xfId="0" applyNumberFormat="1" applyFont="1" applyFill="1" applyBorder="1" applyAlignment="1" applyProtection="1">
      <alignment horizontal="center"/>
    </xf>
    <xf numFmtId="2" fontId="26" fillId="2" borderId="5" xfId="0" applyNumberFormat="1" applyFont="1" applyFill="1" applyBorder="1" applyAlignment="1" applyProtection="1">
      <alignment horizontal="center"/>
    </xf>
    <xf numFmtId="0" fontId="29" fillId="2" borderId="22" xfId="0" applyFont="1" applyFill="1" applyBorder="1" applyAlignment="1" applyProtection="1">
      <alignment horizontal="center" vertical="center"/>
    </xf>
    <xf numFmtId="0" fontId="29" fillId="2" borderId="21" xfId="0" applyFont="1" applyFill="1" applyBorder="1" applyAlignment="1" applyProtection="1">
      <alignment horizontal="center" vertical="center"/>
    </xf>
    <xf numFmtId="0" fontId="31" fillId="2" borderId="7" xfId="0" applyFont="1" applyFill="1" applyBorder="1" applyAlignment="1" applyProtection="1">
      <alignment horizontal="center"/>
    </xf>
    <xf numFmtId="0" fontId="29" fillId="2" borderId="22" xfId="0" applyFont="1" applyFill="1" applyBorder="1" applyAlignment="1" applyProtection="1">
      <alignment horizontal="center" vertical="center" wrapText="1"/>
    </xf>
    <xf numFmtId="0" fontId="29" fillId="2" borderId="38" xfId="0" applyFont="1" applyFill="1" applyBorder="1" applyAlignment="1" applyProtection="1">
      <alignment horizontal="center" vertical="center" wrapText="1"/>
    </xf>
    <xf numFmtId="0" fontId="29" fillId="2" borderId="21" xfId="0" applyFont="1" applyFill="1" applyBorder="1" applyAlignment="1" applyProtection="1">
      <alignment horizontal="center" vertical="center" wrapText="1"/>
    </xf>
    <xf numFmtId="0" fontId="26" fillId="2" borderId="20" xfId="0" applyFont="1" applyFill="1" applyBorder="1" applyAlignment="1" applyProtection="1">
      <alignment horizontal="center" vertical="center"/>
    </xf>
    <xf numFmtId="14" fontId="26" fillId="2" borderId="2" xfId="0" applyNumberFormat="1" applyFont="1" applyFill="1" applyBorder="1" applyAlignment="1" applyProtection="1">
      <alignment horizontal="center" vertical="center"/>
    </xf>
    <xf numFmtId="14" fontId="26" fillId="2" borderId="7" xfId="0" applyNumberFormat="1" applyFont="1" applyFill="1" applyBorder="1" applyAlignment="1" applyProtection="1">
      <alignment horizontal="center" vertical="center"/>
    </xf>
    <xf numFmtId="14" fontId="26" fillId="2" borderId="22" xfId="0" applyNumberFormat="1" applyFont="1" applyFill="1" applyBorder="1" applyAlignment="1" applyProtection="1">
      <alignment horizontal="center" vertical="center"/>
    </xf>
    <xf numFmtId="14" fontId="26" fillId="2" borderId="21" xfId="0" applyNumberFormat="1" applyFont="1" applyFill="1" applyBorder="1" applyAlignment="1" applyProtection="1">
      <alignment horizontal="center" vertical="center"/>
    </xf>
    <xf numFmtId="0" fontId="26" fillId="2" borderId="22" xfId="0" applyFont="1" applyFill="1" applyBorder="1" applyAlignment="1" applyProtection="1">
      <alignment horizontal="center" vertical="center" wrapText="1"/>
    </xf>
    <xf numFmtId="0" fontId="26" fillId="2" borderId="21" xfId="0" applyFont="1" applyFill="1" applyBorder="1" applyAlignment="1" applyProtection="1">
      <alignment horizontal="center" vertical="center" wrapText="1"/>
    </xf>
    <xf numFmtId="0" fontId="26" fillId="2" borderId="0" xfId="0" applyFont="1" applyFill="1" applyBorder="1" applyAlignment="1">
      <alignment horizontal="left" vertical="center" wrapText="1"/>
    </xf>
    <xf numFmtId="0" fontId="26" fillId="2" borderId="14" xfId="0" applyFont="1" applyFill="1" applyBorder="1" applyAlignment="1">
      <alignment horizontal="left" vertical="center" wrapText="1"/>
    </xf>
    <xf numFmtId="0" fontId="39" fillId="2" borderId="4" xfId="0" applyFont="1" applyFill="1" applyBorder="1" applyAlignment="1" applyProtection="1">
      <alignment horizontal="center"/>
    </xf>
    <xf numFmtId="0" fontId="39" fillId="2" borderId="0" xfId="0" applyFont="1" applyFill="1" applyBorder="1" applyAlignment="1" applyProtection="1">
      <alignment horizontal="center"/>
    </xf>
    <xf numFmtId="0" fontId="31" fillId="2" borderId="4" xfId="0" applyFont="1" applyFill="1" applyBorder="1" applyAlignment="1" applyProtection="1">
      <alignment horizontal="center"/>
    </xf>
    <xf numFmtId="0" fontId="26" fillId="2" borderId="0" xfId="0" applyFont="1" applyFill="1" applyBorder="1" applyAlignment="1" applyProtection="1">
      <alignment horizontal="left"/>
    </xf>
    <xf numFmtId="0" fontId="26" fillId="2" borderId="20" xfId="0" applyFont="1" applyFill="1" applyBorder="1" applyAlignment="1" applyProtection="1">
      <alignment horizontal="center" vertical="center" wrapText="1"/>
    </xf>
    <xf numFmtId="0" fontId="29" fillId="2" borderId="20" xfId="0" applyFont="1" applyFill="1" applyBorder="1" applyAlignment="1" applyProtection="1">
      <alignment horizontal="center" vertical="center" wrapText="1"/>
    </xf>
    <xf numFmtId="0" fontId="29" fillId="2" borderId="20" xfId="0" applyFont="1" applyFill="1" applyBorder="1" applyAlignment="1" applyProtection="1">
      <alignment horizontal="center" vertical="center"/>
    </xf>
    <xf numFmtId="0" fontId="29" fillId="2" borderId="16" xfId="0" applyFont="1" applyFill="1" applyBorder="1" applyAlignment="1" applyProtection="1">
      <alignment horizontal="center" vertical="center"/>
    </xf>
    <xf numFmtId="0" fontId="26" fillId="2" borderId="22" xfId="0" applyFont="1" applyFill="1" applyBorder="1" applyAlignment="1" applyProtection="1">
      <alignment horizontal="center"/>
    </xf>
    <xf numFmtId="0" fontId="26" fillId="2" borderId="20" xfId="0" applyFont="1" applyFill="1" applyBorder="1" applyAlignment="1" applyProtection="1">
      <alignment horizontal="center"/>
    </xf>
    <xf numFmtId="0" fontId="26" fillId="2" borderId="1" xfId="0" applyFont="1" applyFill="1" applyBorder="1" applyAlignment="1" applyProtection="1">
      <alignment horizontal="center"/>
    </xf>
    <xf numFmtId="0" fontId="26" fillId="2" borderId="4" xfId="0" applyFont="1" applyFill="1" applyBorder="1" applyAlignment="1" applyProtection="1">
      <alignment horizontal="center"/>
    </xf>
    <xf numFmtId="2" fontId="29" fillId="2" borderId="49" xfId="0" applyNumberFormat="1" applyFont="1" applyFill="1" applyBorder="1" applyAlignment="1" applyProtection="1">
      <alignment horizontal="center"/>
    </xf>
    <xf numFmtId="2" fontId="29" fillId="2" borderId="53" xfId="0" applyNumberFormat="1" applyFont="1" applyFill="1" applyBorder="1" applyAlignment="1" applyProtection="1">
      <alignment horizontal="center"/>
    </xf>
    <xf numFmtId="0" fontId="26" fillId="2" borderId="0" xfId="0" applyFont="1" applyFill="1" applyAlignment="1" applyProtection="1">
      <alignment horizontal="right"/>
    </xf>
    <xf numFmtId="0" fontId="26" fillId="2" borderId="12" xfId="0" applyFont="1" applyFill="1" applyBorder="1" applyAlignment="1" applyProtection="1">
      <alignment horizontal="right"/>
    </xf>
    <xf numFmtId="0" fontId="26" fillId="2" borderId="39" xfId="0" applyFont="1" applyFill="1" applyBorder="1" applyAlignment="1" applyProtection="1">
      <alignment horizontal="center"/>
    </xf>
    <xf numFmtId="0" fontId="26" fillId="2" borderId="26" xfId="0" applyFont="1" applyFill="1" applyBorder="1" applyAlignment="1" applyProtection="1">
      <alignment horizontal="center"/>
    </xf>
    <xf numFmtId="0" fontId="26" fillId="2" borderId="27" xfId="0" applyFont="1" applyFill="1" applyBorder="1" applyAlignment="1" applyProtection="1">
      <alignment horizontal="center"/>
    </xf>
    <xf numFmtId="0" fontId="26" fillId="2" borderId="4" xfId="0" applyFont="1" applyFill="1" applyBorder="1" applyAlignment="1" applyProtection="1">
      <alignment horizontal="right"/>
    </xf>
    <xf numFmtId="0" fontId="26" fillId="2" borderId="0" xfId="0" applyFont="1" applyFill="1" applyBorder="1" applyAlignment="1" applyProtection="1">
      <alignment horizontal="right"/>
    </xf>
    <xf numFmtId="0" fontId="29" fillId="2" borderId="17" xfId="0" applyFont="1" applyFill="1" applyBorder="1" applyAlignment="1" applyProtection="1">
      <alignment horizontal="center"/>
    </xf>
    <xf numFmtId="0" fontId="29" fillId="2" borderId="44" xfId="0" applyFont="1" applyFill="1" applyBorder="1" applyAlignment="1" applyProtection="1">
      <alignment horizontal="center"/>
    </xf>
    <xf numFmtId="10" fontId="29" fillId="2" borderId="17" xfId="0" applyNumberFormat="1" applyFont="1" applyFill="1" applyBorder="1" applyAlignment="1" applyProtection="1">
      <alignment horizontal="center"/>
    </xf>
    <xf numFmtId="10" fontId="29" fillId="2" borderId="10" xfId="0" applyNumberFormat="1" applyFont="1" applyFill="1" applyBorder="1" applyAlignment="1" applyProtection="1">
      <alignment horizontal="center"/>
    </xf>
    <xf numFmtId="10" fontId="29" fillId="2" borderId="23" xfId="0" applyNumberFormat="1" applyFont="1" applyFill="1" applyBorder="1" applyAlignment="1" applyProtection="1">
      <alignment horizontal="center"/>
    </xf>
    <xf numFmtId="10" fontId="29" fillId="2" borderId="24" xfId="0" applyNumberFormat="1" applyFont="1" applyFill="1" applyBorder="1" applyAlignment="1" applyProtection="1">
      <alignment horizontal="center"/>
    </xf>
    <xf numFmtId="0" fontId="39" fillId="2" borderId="18" xfId="0" applyFont="1" applyFill="1" applyBorder="1" applyAlignment="1" applyProtection="1">
      <alignment horizontal="center"/>
    </xf>
    <xf numFmtId="0" fontId="39" fillId="2" borderId="16" xfId="0" applyFont="1" applyFill="1" applyBorder="1" applyAlignment="1" applyProtection="1">
      <alignment horizontal="center"/>
    </xf>
    <xf numFmtId="0" fontId="39" fillId="2" borderId="19" xfId="0" applyFont="1" applyFill="1" applyBorder="1" applyAlignment="1" applyProtection="1">
      <alignment horizontal="center"/>
    </xf>
    <xf numFmtId="3" fontId="29" fillId="2" borderId="49" xfId="0" applyNumberFormat="1" applyFont="1" applyFill="1" applyBorder="1" applyAlignment="1" applyProtection="1">
      <alignment horizontal="center"/>
    </xf>
    <xf numFmtId="3" fontId="29" fillId="2" borderId="44" xfId="0" applyNumberFormat="1" applyFont="1" applyFill="1" applyBorder="1" applyAlignment="1" applyProtection="1">
      <alignment horizontal="center"/>
    </xf>
    <xf numFmtId="0" fontId="26" fillId="2" borderId="0" xfId="0" applyFont="1" applyFill="1" applyAlignment="1" applyProtection="1">
      <alignment horizontal="center"/>
    </xf>
    <xf numFmtId="0" fontId="26" fillId="2" borderId="11" xfId="0" applyFont="1" applyFill="1" applyBorder="1" applyAlignment="1" applyProtection="1">
      <alignment horizontal="center"/>
    </xf>
    <xf numFmtId="0" fontId="26" fillId="2" borderId="12" xfId="0" applyFont="1" applyFill="1" applyBorder="1" applyAlignment="1" applyProtection="1">
      <alignment horizontal="center"/>
    </xf>
    <xf numFmtId="0" fontId="26" fillId="2" borderId="39" xfId="0" applyFont="1" applyFill="1" applyBorder="1" applyAlignment="1" applyProtection="1">
      <alignment horizontal="left"/>
    </xf>
    <xf numFmtId="0" fontId="26" fillId="2" borderId="27" xfId="0" applyFont="1" applyFill="1" applyBorder="1" applyAlignment="1" applyProtection="1">
      <alignment horizontal="left"/>
    </xf>
    <xf numFmtId="2" fontId="29" fillId="2" borderId="72" xfId="0" applyNumberFormat="1" applyFont="1" applyFill="1" applyBorder="1" applyAlignment="1" applyProtection="1">
      <alignment horizontal="center"/>
    </xf>
    <xf numFmtId="2" fontId="29" fillId="2" borderId="73" xfId="0" applyNumberFormat="1" applyFont="1" applyFill="1" applyBorder="1" applyAlignment="1" applyProtection="1">
      <alignment horizontal="center"/>
    </xf>
    <xf numFmtId="3" fontId="29" fillId="2" borderId="17" xfId="0" applyNumberFormat="1" applyFont="1" applyFill="1" applyBorder="1" applyAlignment="1" applyProtection="1">
      <alignment horizontal="center"/>
    </xf>
    <xf numFmtId="2" fontId="29" fillId="2" borderId="49" xfId="0" applyNumberFormat="1" applyFont="1" applyFill="1" applyBorder="1" applyAlignment="1" applyProtection="1">
      <alignment horizontal="right"/>
    </xf>
    <xf numFmtId="2" fontId="29" fillId="2" borderId="44" xfId="0" applyNumberFormat="1" applyFont="1" applyFill="1" applyBorder="1" applyAlignment="1" applyProtection="1">
      <alignment horizontal="right"/>
    </xf>
    <xf numFmtId="0" fontId="26" fillId="2" borderId="0" xfId="0" applyFont="1" applyFill="1" applyAlignment="1" applyProtection="1">
      <alignment horizontal="left"/>
    </xf>
    <xf numFmtId="0" fontId="29" fillId="2" borderId="0" xfId="0" applyFont="1" applyFill="1" applyBorder="1" applyAlignment="1" applyProtection="1">
      <alignment horizontal="center" vertical="center"/>
    </xf>
    <xf numFmtId="0" fontId="29" fillId="2" borderId="52" xfId="0" applyFont="1" applyFill="1" applyBorder="1" applyAlignment="1" applyProtection="1">
      <alignment horizontal="center" vertical="center"/>
    </xf>
    <xf numFmtId="2" fontId="26" fillId="2" borderId="67" xfId="0" applyNumberFormat="1" applyFont="1" applyFill="1" applyBorder="1" applyAlignment="1" applyProtection="1">
      <alignment horizontal="center" vertical="center"/>
    </xf>
    <xf numFmtId="2" fontId="26" fillId="2" borderId="69" xfId="0" applyNumberFormat="1" applyFont="1" applyFill="1" applyBorder="1" applyAlignment="1" applyProtection="1">
      <alignment horizontal="center" vertical="center"/>
    </xf>
    <xf numFmtId="0" fontId="26" fillId="2" borderId="66" xfId="0" applyFont="1" applyFill="1" applyBorder="1" applyAlignment="1" applyProtection="1">
      <alignment horizontal="left" vertical="center"/>
    </xf>
    <xf numFmtId="0" fontId="26" fillId="2" borderId="64" xfId="0" applyFont="1" applyFill="1" applyBorder="1" applyAlignment="1" applyProtection="1">
      <alignment horizontal="left" vertical="center"/>
    </xf>
    <xf numFmtId="0" fontId="26" fillId="2" borderId="65" xfId="0" applyFont="1" applyFill="1" applyBorder="1" applyAlignment="1" applyProtection="1">
      <alignment horizontal="left" vertical="center"/>
    </xf>
    <xf numFmtId="0" fontId="26" fillId="2" borderId="37" xfId="0" applyFont="1" applyFill="1" applyBorder="1" applyAlignment="1" applyProtection="1">
      <alignment horizontal="left" vertical="center"/>
    </xf>
    <xf numFmtId="0" fontId="26" fillId="2" borderId="7" xfId="0" applyFont="1" applyFill="1" applyBorder="1" applyAlignment="1" applyProtection="1">
      <alignment horizontal="left" vertical="center"/>
    </xf>
    <xf numFmtId="0" fontId="26" fillId="2" borderId="32" xfId="0" applyFont="1" applyFill="1" applyBorder="1" applyAlignment="1" applyProtection="1">
      <alignment horizontal="left" vertical="center"/>
    </xf>
    <xf numFmtId="0" fontId="26" fillId="2" borderId="0" xfId="0" applyFont="1" applyFill="1" applyBorder="1" applyAlignment="1" applyProtection="1">
      <alignment horizontal="center"/>
    </xf>
    <xf numFmtId="0" fontId="26" fillId="2" borderId="13" xfId="0" applyFont="1" applyFill="1" applyBorder="1" applyAlignment="1" applyProtection="1">
      <alignment horizontal="left" vertical="center"/>
    </xf>
    <xf numFmtId="0" fontId="26" fillId="2" borderId="14" xfId="0" applyFont="1" applyFill="1" applyBorder="1" applyAlignment="1" applyProtection="1">
      <alignment horizontal="left" vertical="center"/>
    </xf>
    <xf numFmtId="0" fontId="26" fillId="2" borderId="42" xfId="0" applyFont="1" applyFill="1" applyBorder="1" applyAlignment="1" applyProtection="1">
      <alignment horizontal="left" vertical="center"/>
    </xf>
    <xf numFmtId="2" fontId="26" fillId="2" borderId="68" xfId="0" applyNumberFormat="1" applyFont="1" applyFill="1" applyBorder="1" applyAlignment="1" applyProtection="1">
      <alignment horizontal="center" vertical="center"/>
    </xf>
    <xf numFmtId="0" fontId="39" fillId="2" borderId="18" xfId="0" applyFont="1" applyFill="1" applyBorder="1" applyAlignment="1" applyProtection="1">
      <alignment horizontal="center" vertical="center"/>
    </xf>
    <xf numFmtId="0" fontId="39" fillId="2" borderId="16" xfId="0" applyFont="1" applyFill="1" applyBorder="1" applyAlignment="1" applyProtection="1">
      <alignment horizontal="center" vertical="center"/>
    </xf>
    <xf numFmtId="0" fontId="39" fillId="2" borderId="19" xfId="0" applyFont="1" applyFill="1" applyBorder="1" applyAlignment="1" applyProtection="1">
      <alignment horizontal="center" vertical="center"/>
    </xf>
    <xf numFmtId="0" fontId="29" fillId="2" borderId="28" xfId="0" applyFont="1" applyFill="1" applyBorder="1" applyAlignment="1" applyProtection="1">
      <alignment horizontal="center"/>
    </xf>
    <xf numFmtId="0" fontId="29" fillId="2" borderId="29" xfId="0" applyFont="1" applyFill="1" applyBorder="1" applyAlignment="1" applyProtection="1">
      <alignment horizontal="center"/>
    </xf>
    <xf numFmtId="0" fontId="29" fillId="2" borderId="30" xfId="0" applyFont="1" applyFill="1" applyBorder="1" applyAlignment="1" applyProtection="1">
      <alignment horizontal="center"/>
    </xf>
    <xf numFmtId="0" fontId="29" fillId="2" borderId="53" xfId="0" applyFont="1" applyFill="1" applyBorder="1" applyAlignment="1">
      <alignment horizontal="left"/>
    </xf>
    <xf numFmtId="0" fontId="29" fillId="2" borderId="50" xfId="0" applyFont="1" applyFill="1" applyBorder="1" applyAlignment="1">
      <alignment horizontal="left"/>
    </xf>
    <xf numFmtId="0" fontId="29" fillId="2" borderId="70" xfId="0" applyFont="1" applyFill="1" applyBorder="1" applyAlignment="1">
      <alignment horizontal="center" vertical="center"/>
    </xf>
    <xf numFmtId="0" fontId="29" fillId="2" borderId="15" xfId="0" applyFont="1" applyFill="1" applyBorder="1" applyAlignment="1">
      <alignment horizontal="center" vertical="center"/>
    </xf>
    <xf numFmtId="0" fontId="29" fillId="2" borderId="71" xfId="0" applyFont="1" applyFill="1" applyBorder="1" applyAlignment="1">
      <alignment horizontal="center" vertical="center"/>
    </xf>
    <xf numFmtId="0" fontId="26" fillId="2" borderId="58" xfId="0" applyFont="1" applyFill="1" applyBorder="1" applyAlignment="1" applyProtection="1">
      <alignment horizontal="center"/>
    </xf>
    <xf numFmtId="0" fontId="34" fillId="2" borderId="2" xfId="0" applyFont="1" applyFill="1" applyBorder="1" applyAlignment="1" applyProtection="1">
      <alignment horizontal="left"/>
    </xf>
    <xf numFmtId="0" fontId="26" fillId="2" borderId="16" xfId="0" applyFont="1" applyFill="1" applyBorder="1" applyAlignment="1" applyProtection="1">
      <alignment horizontal="center"/>
    </xf>
    <xf numFmtId="0" fontId="29" fillId="2" borderId="0" xfId="0" applyFont="1" applyFill="1" applyBorder="1" applyAlignment="1" applyProtection="1">
      <alignment horizontal="left"/>
    </xf>
    <xf numFmtId="0" fontId="29" fillId="2" borderId="4" xfId="0" applyFont="1" applyFill="1" applyBorder="1" applyAlignment="1" applyProtection="1">
      <alignment horizontal="right"/>
    </xf>
    <xf numFmtId="0" fontId="29" fillId="2" borderId="0" xfId="0" applyFont="1" applyFill="1" applyBorder="1" applyAlignment="1" applyProtection="1">
      <alignment horizontal="right"/>
    </xf>
    <xf numFmtId="0" fontId="29" fillId="2" borderId="58" xfId="0" applyFont="1" applyFill="1" applyBorder="1" applyAlignment="1" applyProtection="1">
      <alignment horizontal="right"/>
    </xf>
    <xf numFmtId="0" fontId="26" fillId="2" borderId="102" xfId="0" applyFont="1" applyFill="1" applyBorder="1" applyAlignment="1" applyProtection="1">
      <alignment horizontal="center" vertical="center"/>
    </xf>
    <xf numFmtId="0" fontId="14" fillId="2" borderId="104" xfId="0" applyFont="1" applyFill="1" applyBorder="1" applyAlignment="1" applyProtection="1">
      <alignment horizontal="center" vertical="center"/>
    </xf>
    <xf numFmtId="0" fontId="14" fillId="2" borderId="105" xfId="0" applyFont="1" applyFill="1" applyBorder="1" applyAlignment="1" applyProtection="1">
      <alignment horizontal="center" vertical="center"/>
    </xf>
    <xf numFmtId="0" fontId="29" fillId="2" borderId="102" xfId="0" applyFont="1" applyFill="1" applyBorder="1" applyAlignment="1" applyProtection="1">
      <alignment vertical="center"/>
    </xf>
    <xf numFmtId="9" fontId="27" fillId="2" borderId="102" xfId="0" applyNumberFormat="1" applyFont="1" applyFill="1" applyBorder="1" applyAlignment="1" applyProtection="1">
      <alignment horizontal="center" vertical="center"/>
    </xf>
    <xf numFmtId="1" fontId="28" fillId="2" borderId="102" xfId="0" applyNumberFormat="1" applyFont="1" applyFill="1" applyBorder="1" applyAlignment="1" applyProtection="1">
      <alignment horizontal="center" vertical="center"/>
    </xf>
    <xf numFmtId="0" fontId="2" fillId="2" borderId="103" xfId="0" applyFont="1" applyFill="1" applyBorder="1" applyAlignment="1" applyProtection="1">
      <alignment vertical="center"/>
    </xf>
    <xf numFmtId="0" fontId="14" fillId="2" borderId="104" xfId="0" applyFont="1" applyFill="1" applyBorder="1" applyAlignment="1" applyProtection="1">
      <alignment vertical="center"/>
    </xf>
    <xf numFmtId="0" fontId="2" fillId="2" borderId="11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2" fillId="0" borderId="11" xfId="0" applyFont="1" applyFill="1" applyBorder="1" applyAlignment="1" applyProtection="1">
      <alignment vertical="center"/>
    </xf>
    <xf numFmtId="0" fontId="2" fillId="0" borderId="13" xfId="0" applyFont="1" applyFill="1" applyBorder="1" applyAlignment="1" applyProtection="1">
      <alignment vertical="center"/>
    </xf>
    <xf numFmtId="0" fontId="26" fillId="0" borderId="14" xfId="0" applyFont="1" applyFill="1" applyBorder="1" applyAlignment="1" applyProtection="1">
      <alignment horizontal="right" vertical="center"/>
    </xf>
    <xf numFmtId="0" fontId="26" fillId="0" borderId="0" xfId="0" applyFont="1" applyFill="1" applyBorder="1" applyAlignment="1" applyProtection="1">
      <alignment horizontal="center" vertical="center"/>
    </xf>
    <xf numFmtId="0" fontId="26" fillId="0" borderId="12" xfId="0" applyFont="1" applyFill="1" applyBorder="1" applyAlignment="1" applyProtection="1">
      <alignment horizontal="center" vertical="center"/>
    </xf>
    <xf numFmtId="0" fontId="14" fillId="0" borderId="14" xfId="0" applyFont="1" applyBorder="1" applyAlignment="1">
      <alignment vertical="center"/>
    </xf>
    <xf numFmtId="14" fontId="26" fillId="0" borderId="14" xfId="0" applyNumberFormat="1" applyFont="1" applyFill="1" applyBorder="1" applyAlignment="1" applyProtection="1">
      <alignment horizontal="left" vertical="center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11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strike val="0"/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checked="Checked" fmlaLink="$B$49" lockText="1" noThreeD="1"/>
</file>

<file path=xl/ctrlProps/ctrlProp2.xml><?xml version="1.0" encoding="utf-8"?>
<formControlPr xmlns="http://schemas.microsoft.com/office/spreadsheetml/2009/9/main" objectType="CheckBox" checked="Checked" fmlaLink="$B$50" lockText="1" noThreeD="1"/>
</file>

<file path=xl/ctrlProps/ctrlProp3.xml><?xml version="1.0" encoding="utf-8"?>
<formControlPr xmlns="http://schemas.microsoft.com/office/spreadsheetml/2009/9/main" objectType="CheckBox" checked="Checked" fmlaLink="$B$51" lockText="1" noThreeD="1"/>
</file>

<file path=xl/ctrlProps/ctrlProp4.xml><?xml version="1.0" encoding="utf-8"?>
<formControlPr xmlns="http://schemas.microsoft.com/office/spreadsheetml/2009/9/main" objectType="CheckBox" checked="Checked" fmlaLink="$D$60" lockText="1" noThreeD="1"/>
</file>

<file path=xl/ctrlProps/ctrlProp5.xml><?xml version="1.0" encoding="utf-8"?>
<formControlPr xmlns="http://schemas.microsoft.com/office/spreadsheetml/2009/9/main" objectType="CheckBox" checked="Checked" fmlaLink="$D$61" lockText="1" noThreeD="1"/>
</file>

<file path=xl/ctrlProps/ctrlProp6.xml><?xml version="1.0" encoding="utf-8"?>
<formControlPr xmlns="http://schemas.microsoft.com/office/spreadsheetml/2009/9/main" objectType="CheckBox" checked="Checked" fmlaLink="$D$62" lockText="1" noThreeD="1"/>
</file>

<file path=xl/ctrlProps/ctrlProp7.xml><?xml version="1.0" encoding="utf-8"?>
<formControlPr xmlns="http://schemas.microsoft.com/office/spreadsheetml/2009/9/main" objectType="CheckBox" checked="Checked" fmlaLink="$D$62" lockText="1" noThreeD="1"/>
</file>

<file path=xl/ctrlProps/ctrlProp8.xml><?xml version="1.0" encoding="utf-8"?>
<formControlPr xmlns="http://schemas.microsoft.com/office/spreadsheetml/2009/9/main" objectType="CheckBox" checked="Checked" fmlaLink="$D$613" lockText="1" noThreeD="1"/>
</file>

<file path=xl/ctrlProps/ctrlProp9.xml><?xml version="1.0" encoding="utf-8"?>
<formControlPr xmlns="http://schemas.microsoft.com/office/spreadsheetml/2009/9/main" objectType="CheckBox" checked="Checked" fmlaLink="$D$63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17808</xdr:colOff>
      <xdr:row>0</xdr:row>
      <xdr:rowOff>21949</xdr:rowOff>
    </xdr:from>
    <xdr:to>
      <xdr:col>2</xdr:col>
      <xdr:colOff>1022</xdr:colOff>
      <xdr:row>3</xdr:row>
      <xdr:rowOff>115929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808" y="21949"/>
          <a:ext cx="828040" cy="7648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47</xdr:row>
          <xdr:rowOff>161925</xdr:rowOff>
        </xdr:from>
        <xdr:to>
          <xdr:col>3</xdr:col>
          <xdr:colOff>209550</xdr:colOff>
          <xdr:row>49</xdr:row>
          <xdr:rowOff>19050</xdr:rowOff>
        </xdr:to>
        <xdr:sp macro="" textlink=""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  <a:ext uri="{FF2B5EF4-FFF2-40B4-BE49-F238E27FC236}">
                  <a16:creationId xmlns:a16="http://schemas.microsoft.com/office/drawing/2014/main" id="{00000000-0008-0000-0000-00000E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48</xdr:row>
          <xdr:rowOff>142875</xdr:rowOff>
        </xdr:from>
        <xdr:to>
          <xdr:col>3</xdr:col>
          <xdr:colOff>209550</xdr:colOff>
          <xdr:row>50</xdr:row>
          <xdr:rowOff>28575</xdr:rowOff>
        </xdr:to>
        <xdr:sp macro="" textlink=""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  <a:ext uri="{FF2B5EF4-FFF2-40B4-BE49-F238E27FC236}">
                  <a16:creationId xmlns:a16="http://schemas.microsoft.com/office/drawing/2014/main" id="{00000000-0008-0000-0000-00000F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49</xdr:row>
          <xdr:rowOff>133350</xdr:rowOff>
        </xdr:from>
        <xdr:to>
          <xdr:col>3</xdr:col>
          <xdr:colOff>209550</xdr:colOff>
          <xdr:row>51</xdr:row>
          <xdr:rowOff>19050</xdr:rowOff>
        </xdr:to>
        <xdr:sp macro="" textlink=""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  <a:ext uri="{FF2B5EF4-FFF2-40B4-BE49-F238E27FC236}">
                  <a16:creationId xmlns:a16="http://schemas.microsoft.com/office/drawing/2014/main" id="{00000000-0008-0000-0000-000010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59</xdr:row>
          <xdr:rowOff>0</xdr:rowOff>
        </xdr:from>
        <xdr:to>
          <xdr:col>3</xdr:col>
          <xdr:colOff>209550</xdr:colOff>
          <xdr:row>60</xdr:row>
          <xdr:rowOff>38100</xdr:rowOff>
        </xdr:to>
        <xdr:sp macro="" textlink=""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  <a:ext uri="{FF2B5EF4-FFF2-40B4-BE49-F238E27FC236}">
                  <a16:creationId xmlns:a16="http://schemas.microsoft.com/office/drawing/2014/main" id="{00000000-0008-0000-0000-00001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59</xdr:row>
          <xdr:rowOff>152400</xdr:rowOff>
        </xdr:from>
        <xdr:to>
          <xdr:col>4</xdr:col>
          <xdr:colOff>19050</xdr:colOff>
          <xdr:row>61</xdr:row>
          <xdr:rowOff>19050</xdr:rowOff>
        </xdr:to>
        <xdr:sp macro="" textlink=""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  <a:ext uri="{FF2B5EF4-FFF2-40B4-BE49-F238E27FC236}">
                  <a16:creationId xmlns:a16="http://schemas.microsoft.com/office/drawing/2014/main" id="{00000000-0008-0000-0000-00001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60</xdr:row>
          <xdr:rowOff>152400</xdr:rowOff>
        </xdr:from>
        <xdr:to>
          <xdr:col>4</xdr:col>
          <xdr:colOff>0</xdr:colOff>
          <xdr:row>62</xdr:row>
          <xdr:rowOff>19050</xdr:rowOff>
        </xdr:to>
        <xdr:sp macro="" textlink=""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  <a:ext uri="{FF2B5EF4-FFF2-40B4-BE49-F238E27FC236}">
                  <a16:creationId xmlns:a16="http://schemas.microsoft.com/office/drawing/2014/main" id="{00000000-0008-0000-0000-000013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609600</xdr:colOff>
          <xdr:row>60</xdr:row>
          <xdr:rowOff>152400</xdr:rowOff>
        </xdr:from>
        <xdr:to>
          <xdr:col>4</xdr:col>
          <xdr:colOff>0</xdr:colOff>
          <xdr:row>62</xdr:row>
          <xdr:rowOff>19050</xdr:rowOff>
        </xdr:to>
        <xdr:sp macro="" textlink=""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  <a:ext uri="{FF2B5EF4-FFF2-40B4-BE49-F238E27FC236}">
                  <a16:creationId xmlns:a16="http://schemas.microsoft.com/office/drawing/2014/main" id="{00000000-0008-0000-0000-000014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133350</xdr:rowOff>
        </xdr:from>
        <xdr:to>
          <xdr:col>4</xdr:col>
          <xdr:colOff>0</xdr:colOff>
          <xdr:row>63</xdr:row>
          <xdr:rowOff>0</xdr:rowOff>
        </xdr:to>
        <xdr:sp macro="" textlink=""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  <a:ext uri="{FF2B5EF4-FFF2-40B4-BE49-F238E27FC236}">
                  <a16:creationId xmlns:a16="http://schemas.microsoft.com/office/drawing/2014/main" id="{00000000-0008-0000-0000-000015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61</xdr:row>
          <xdr:rowOff>133350</xdr:rowOff>
        </xdr:from>
        <xdr:to>
          <xdr:col>4</xdr:col>
          <xdr:colOff>0</xdr:colOff>
          <xdr:row>63</xdr:row>
          <xdr:rowOff>0</xdr:rowOff>
        </xdr:to>
        <xdr:sp macro="" textlink=""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  <a:ext uri="{FF2B5EF4-FFF2-40B4-BE49-F238E27FC236}">
                  <a16:creationId xmlns:a16="http://schemas.microsoft.com/office/drawing/2014/main" id="{00000000-0008-0000-0000-000016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11339</xdr:colOff>
      <xdr:row>0</xdr:row>
      <xdr:rowOff>22682</xdr:rowOff>
    </xdr:from>
    <xdr:to>
      <xdr:col>3</xdr:col>
      <xdr:colOff>158961</xdr:colOff>
      <xdr:row>2</xdr:row>
      <xdr:rowOff>215446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4107" y="22682"/>
          <a:ext cx="3844229" cy="78240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Clients\UP\Up2050\EXCEL\GULF-P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APR"/>
      <sheetName val="Fuel Gas"/>
      <sheetName val="101"/>
      <sheetName val="102"/>
      <sheetName val="103"/>
      <sheetName val="104"/>
      <sheetName val="106"/>
      <sheetName val="107"/>
      <sheetName val="108"/>
      <sheetName val="109"/>
      <sheetName val="110"/>
      <sheetName val="114"/>
      <sheetName val="115"/>
      <sheetName val="116"/>
      <sheetName val="117"/>
      <sheetName val="118"/>
      <sheetName val="119"/>
      <sheetName val="171"/>
      <sheetName val="172"/>
      <sheetName val="173"/>
      <sheetName val="174"/>
      <sheetName val="175"/>
      <sheetName val="176"/>
      <sheetName val="177"/>
      <sheetName val="111"/>
      <sheetName val="112"/>
      <sheetName val="113"/>
      <sheetName val="120"/>
      <sheetName val="HTR201"/>
      <sheetName val="HTR202"/>
      <sheetName val="HTR205"/>
      <sheetName val="HTR206"/>
      <sheetName val="HTR1101"/>
      <sheetName val="HTR1102"/>
      <sheetName val="V-1"/>
      <sheetName val="V-2"/>
      <sheetName val="Amine Flash"/>
      <sheetName val="Sump-1"/>
      <sheetName val="Sump-2"/>
      <sheetName val="Sump-3"/>
      <sheetName val="FUG-ANNUAL"/>
      <sheetName val="FUG-HOURLY"/>
      <sheetName val="Distillate Gathering"/>
      <sheetName val="Debut System"/>
      <sheetName val="Inlet Gas"/>
      <sheetName val="Methanol"/>
      <sheetName val="Deethanizer"/>
      <sheetName val="Depropanizer"/>
      <sheetName val="Debutanizer"/>
      <sheetName val="Propane"/>
      <sheetName val="Nat Gasoline-Condensate"/>
      <sheetName val="Comps and PRVs"/>
      <sheetName val="FUG-HLIQ"/>
      <sheetName val="DRAINS"/>
      <sheetName val="FUGCOMP"/>
      <sheetName val="TEST94"/>
      <sheetName val="T98-100"/>
      <sheetName val="TEST131"/>
      <sheetName val="TEST139"/>
      <sheetName val="TEST157"/>
      <sheetName val="g per hp-h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.xml"/><Relationship Id="rId13" Type="http://schemas.openxmlformats.org/officeDocument/2006/relationships/ctrlProp" Target="../ctrlProps/ctrlProp7.xml"/><Relationship Id="rId3" Type="http://schemas.openxmlformats.org/officeDocument/2006/relationships/hyperlink" Target="https://deq.nd.gov/forms/AQ/Title-V/SFN61008.pdf" TargetMode="External"/><Relationship Id="rId7" Type="http://schemas.openxmlformats.org/officeDocument/2006/relationships/ctrlProp" Target="../ctrlProps/ctrlProp1.xml"/><Relationship Id="rId12" Type="http://schemas.openxmlformats.org/officeDocument/2006/relationships/ctrlProp" Target="../ctrlProps/ctrlProp6.xml"/><Relationship Id="rId2" Type="http://schemas.openxmlformats.org/officeDocument/2006/relationships/hyperlink" Target="https://deq.nd.gov/forms/AQ/Title-V/SFN52858.pdf" TargetMode="External"/><Relationship Id="rId1" Type="http://schemas.openxmlformats.org/officeDocument/2006/relationships/hyperlink" Target="https://deq.nd.gov/forms/AQ/Title-V/SFN61006.pdf" TargetMode="External"/><Relationship Id="rId6" Type="http://schemas.openxmlformats.org/officeDocument/2006/relationships/vmlDrawing" Target="../drawings/vmlDrawing1.vml"/><Relationship Id="rId11" Type="http://schemas.openxmlformats.org/officeDocument/2006/relationships/ctrlProp" Target="../ctrlProps/ctrlProp5.xml"/><Relationship Id="rId5" Type="http://schemas.openxmlformats.org/officeDocument/2006/relationships/drawing" Target="../drawings/drawing1.xml"/><Relationship Id="rId15" Type="http://schemas.openxmlformats.org/officeDocument/2006/relationships/ctrlProp" Target="../ctrlProps/ctrlProp9.xml"/><Relationship Id="rId10" Type="http://schemas.openxmlformats.org/officeDocument/2006/relationships/ctrlProp" Target="../ctrlProps/ctrlProp4.xml"/><Relationship Id="rId4" Type="http://schemas.openxmlformats.org/officeDocument/2006/relationships/printerSettings" Target="../printerSettings/printerSettings1.bin"/><Relationship Id="rId9" Type="http://schemas.openxmlformats.org/officeDocument/2006/relationships/ctrlProp" Target="../ctrlProps/ctrlProp3.xml"/><Relationship Id="rId14" Type="http://schemas.openxmlformats.org/officeDocument/2006/relationships/ctrlProp" Target="../ctrlProps/ctrlProp8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9B5BC-DCC2-4A6F-A353-540C66BF653D}">
  <dimension ref="A1:L613"/>
  <sheetViews>
    <sheetView zoomScale="145" zoomScaleNormal="145" workbookViewId="0">
      <selection activeCell="A76" sqref="A76"/>
    </sheetView>
  </sheetViews>
  <sheetFormatPr defaultRowHeight="12.75" x14ac:dyDescent="0.2"/>
  <cols>
    <col min="2" max="2" width="3.42578125" customWidth="1"/>
    <col min="4" max="4" width="3.28515625" customWidth="1"/>
    <col min="6" max="6" width="9.140625" customWidth="1"/>
  </cols>
  <sheetData>
    <row r="1" spans="1:12" ht="18" x14ac:dyDescent="0.2">
      <c r="A1" s="19"/>
      <c r="B1" s="19"/>
      <c r="C1" s="647" t="s">
        <v>236</v>
      </c>
      <c r="D1" s="647"/>
      <c r="E1" s="647"/>
      <c r="F1" s="647"/>
      <c r="G1" s="647"/>
      <c r="H1" s="647"/>
      <c r="I1" s="647"/>
      <c r="J1" s="19"/>
      <c r="K1" s="19"/>
    </row>
    <row r="2" spans="1:12" ht="18" x14ac:dyDescent="0.2">
      <c r="A2" s="19"/>
      <c r="B2" s="19"/>
      <c r="C2" s="647" t="s">
        <v>237</v>
      </c>
      <c r="D2" s="647"/>
      <c r="E2" s="647"/>
      <c r="F2" s="647"/>
      <c r="G2" s="647"/>
      <c r="H2" s="647"/>
      <c r="I2" s="647"/>
      <c r="J2" s="647"/>
      <c r="K2" s="19"/>
    </row>
    <row r="3" spans="1:12" ht="16.5" x14ac:dyDescent="0.25">
      <c r="A3" s="19"/>
      <c r="B3" s="19"/>
      <c r="C3" s="124" t="s">
        <v>260</v>
      </c>
      <c r="D3" s="124"/>
      <c r="E3" s="124"/>
      <c r="F3" s="124"/>
      <c r="G3" s="124"/>
      <c r="H3" s="124"/>
      <c r="I3" s="124"/>
      <c r="J3" s="124"/>
      <c r="K3" s="124"/>
      <c r="L3" s="6"/>
    </row>
    <row r="4" spans="1:12" ht="16.5" x14ac:dyDescent="0.2">
      <c r="A4" s="19"/>
      <c r="B4" s="19"/>
      <c r="C4" s="649" t="s">
        <v>238</v>
      </c>
      <c r="D4" s="649"/>
      <c r="E4" s="649"/>
      <c r="F4" s="649"/>
      <c r="G4" s="649"/>
      <c r="H4" s="649"/>
      <c r="I4" s="649"/>
      <c r="J4" s="649"/>
      <c r="K4" s="649"/>
    </row>
    <row r="5" spans="1:12" ht="15" x14ac:dyDescent="0.2">
      <c r="A5" s="19"/>
      <c r="B5" s="19"/>
      <c r="C5" s="648" t="s">
        <v>239</v>
      </c>
      <c r="D5" s="648"/>
      <c r="E5" s="648"/>
      <c r="F5" s="648"/>
      <c r="G5" s="648"/>
      <c r="H5" s="648"/>
      <c r="I5" s="648"/>
      <c r="J5" s="19"/>
      <c r="K5" s="19"/>
    </row>
    <row r="6" spans="1:12" ht="15" x14ac:dyDescent="0.2">
      <c r="A6" s="19"/>
      <c r="B6" s="19"/>
      <c r="C6" s="125"/>
      <c r="D6" s="125"/>
      <c r="E6" s="125"/>
      <c r="F6" s="125"/>
      <c r="G6" s="125"/>
      <c r="H6" s="125"/>
      <c r="I6" s="125"/>
      <c r="J6" s="19"/>
      <c r="K6" s="19"/>
    </row>
    <row r="7" spans="1:12" x14ac:dyDescent="0.2">
      <c r="A7" s="19"/>
      <c r="B7" s="19"/>
      <c r="C7" s="19"/>
      <c r="D7" s="19"/>
      <c r="E7" s="19"/>
      <c r="F7" s="19"/>
      <c r="G7" s="19"/>
      <c r="H7" s="19"/>
      <c r="I7" s="19"/>
      <c r="J7" s="19"/>
      <c r="K7" s="19"/>
    </row>
    <row r="8" spans="1:12" ht="15" x14ac:dyDescent="0.25">
      <c r="B8" s="651" t="s">
        <v>261</v>
      </c>
      <c r="C8" s="651"/>
      <c r="D8" s="651"/>
      <c r="E8" s="651"/>
      <c r="F8" s="651"/>
      <c r="G8" s="651"/>
      <c r="H8" s="651"/>
      <c r="I8" s="651"/>
      <c r="J8" s="651"/>
      <c r="K8" s="19"/>
    </row>
    <row r="9" spans="1:12" x14ac:dyDescent="0.2">
      <c r="A9" s="656" t="s">
        <v>240</v>
      </c>
      <c r="B9" s="657"/>
      <c r="C9" s="657"/>
      <c r="D9" s="657"/>
      <c r="E9" s="657"/>
      <c r="F9" s="658"/>
      <c r="G9" s="656" t="s">
        <v>241</v>
      </c>
      <c r="H9" s="657"/>
      <c r="I9" s="657"/>
      <c r="J9" s="658"/>
      <c r="K9" s="19"/>
    </row>
    <row r="10" spans="1:12" x14ac:dyDescent="0.2">
      <c r="A10" s="667" t="s">
        <v>262</v>
      </c>
      <c r="B10" s="670"/>
      <c r="C10" s="670"/>
      <c r="D10" s="670"/>
      <c r="E10" s="670"/>
      <c r="F10" s="668"/>
      <c r="G10" s="667" t="s">
        <v>264</v>
      </c>
      <c r="H10" s="670"/>
      <c r="I10" s="670"/>
      <c r="J10" s="668"/>
      <c r="K10" s="19"/>
    </row>
    <row r="11" spans="1:12" x14ac:dyDescent="0.2">
      <c r="A11" s="656" t="s">
        <v>268</v>
      </c>
      <c r="B11" s="657"/>
      <c r="C11" s="657"/>
      <c r="D11" s="657"/>
      <c r="E11" s="657"/>
      <c r="F11" s="658"/>
      <c r="G11" s="657" t="s">
        <v>242</v>
      </c>
      <c r="H11" s="657"/>
      <c r="I11" s="657"/>
      <c r="J11" s="658"/>
      <c r="K11" s="19"/>
    </row>
    <row r="12" spans="1:12" x14ac:dyDescent="0.2">
      <c r="A12" s="664" t="s">
        <v>266</v>
      </c>
      <c r="B12" s="665"/>
      <c r="C12" s="665"/>
      <c r="D12" s="665"/>
      <c r="E12" s="665"/>
      <c r="F12" s="666"/>
      <c r="G12" s="671">
        <v>43252</v>
      </c>
      <c r="H12" s="665"/>
      <c r="I12" s="665"/>
      <c r="J12" s="666"/>
      <c r="K12" s="19"/>
    </row>
    <row r="13" spans="1:12" x14ac:dyDescent="0.2">
      <c r="A13" s="656" t="s">
        <v>243</v>
      </c>
      <c r="B13" s="657"/>
      <c r="C13" s="657"/>
      <c r="D13" s="657"/>
      <c r="E13" s="657"/>
      <c r="F13" s="657"/>
      <c r="G13" s="657"/>
      <c r="H13" s="657"/>
      <c r="I13" s="657"/>
      <c r="J13" s="658"/>
      <c r="K13" s="19"/>
    </row>
    <row r="14" spans="1:12" x14ac:dyDescent="0.2">
      <c r="A14" s="664"/>
      <c r="B14" s="665"/>
      <c r="C14" s="665"/>
      <c r="D14" s="665"/>
      <c r="E14" s="665"/>
      <c r="F14" s="665"/>
      <c r="G14" s="665"/>
      <c r="H14" s="665"/>
      <c r="I14" s="665"/>
      <c r="J14" s="666"/>
      <c r="K14" s="19"/>
    </row>
    <row r="15" spans="1:12" x14ac:dyDescent="0.2">
      <c r="A15" s="656" t="s">
        <v>269</v>
      </c>
      <c r="B15" s="657"/>
      <c r="C15" s="657"/>
      <c r="D15" s="657"/>
      <c r="E15" s="657"/>
      <c r="F15" s="657"/>
      <c r="G15" s="657"/>
      <c r="H15" s="657"/>
      <c r="I15" s="657"/>
      <c r="J15" s="658"/>
      <c r="K15" s="19"/>
    </row>
    <row r="16" spans="1:12" x14ac:dyDescent="0.2">
      <c r="A16" s="664"/>
      <c r="B16" s="665"/>
      <c r="C16" s="665"/>
      <c r="D16" s="665"/>
      <c r="E16" s="665"/>
      <c r="F16" s="665"/>
      <c r="G16" s="665"/>
      <c r="H16" s="665"/>
      <c r="I16" s="665"/>
      <c r="J16" s="666"/>
      <c r="K16" s="19"/>
    </row>
    <row r="17" spans="1:11" x14ac:dyDescent="0.2">
      <c r="A17" s="656" t="s">
        <v>244</v>
      </c>
      <c r="B17" s="657"/>
      <c r="C17" s="657"/>
      <c r="D17" s="657"/>
      <c r="E17" s="658"/>
      <c r="F17" s="656" t="s">
        <v>245</v>
      </c>
      <c r="G17" s="658"/>
      <c r="H17" s="657" t="s">
        <v>270</v>
      </c>
      <c r="I17" s="657"/>
      <c r="J17" s="658"/>
      <c r="K17" s="19"/>
    </row>
    <row r="18" spans="1:11" x14ac:dyDescent="0.2">
      <c r="A18" s="667" t="s">
        <v>279</v>
      </c>
      <c r="B18" s="670"/>
      <c r="C18" s="670"/>
      <c r="D18" s="670"/>
      <c r="E18" s="668"/>
      <c r="F18" s="667" t="s">
        <v>280</v>
      </c>
      <c r="G18" s="668"/>
      <c r="H18" s="669"/>
      <c r="I18" s="665"/>
      <c r="J18" s="666"/>
      <c r="K18" s="19"/>
    </row>
    <row r="19" spans="1:11" x14ac:dyDescent="0.2">
      <c r="A19" s="656" t="s">
        <v>246</v>
      </c>
      <c r="B19" s="657"/>
      <c r="C19" s="657"/>
      <c r="D19" s="657"/>
      <c r="E19" s="657"/>
      <c r="F19" s="657"/>
      <c r="G19" s="657"/>
      <c r="H19" s="657"/>
      <c r="I19" s="657"/>
      <c r="J19" s="658"/>
      <c r="K19" s="19"/>
    </row>
    <row r="20" spans="1:11" x14ac:dyDescent="0.2">
      <c r="A20" s="672"/>
      <c r="B20" s="673"/>
      <c r="C20" s="673"/>
      <c r="D20" s="673"/>
      <c r="E20" s="673"/>
      <c r="F20" s="673"/>
      <c r="G20" s="665"/>
      <c r="H20" s="665"/>
      <c r="I20" s="665"/>
      <c r="J20" s="666"/>
      <c r="K20" s="19"/>
    </row>
    <row r="21" spans="1:11" x14ac:dyDescent="0.2">
      <c r="A21" s="656" t="s">
        <v>247</v>
      </c>
      <c r="B21" s="657"/>
      <c r="C21" s="657"/>
      <c r="D21" s="657"/>
      <c r="E21" s="657"/>
      <c r="F21" s="658"/>
      <c r="G21" s="656" t="s">
        <v>248</v>
      </c>
      <c r="H21" s="658"/>
      <c r="I21" s="656" t="s">
        <v>249</v>
      </c>
      <c r="J21" s="658"/>
      <c r="K21" s="19"/>
    </row>
    <row r="22" spans="1:11" x14ac:dyDescent="0.2">
      <c r="A22" s="664"/>
      <c r="B22" s="665"/>
      <c r="C22" s="665"/>
      <c r="D22" s="665"/>
      <c r="E22" s="665"/>
      <c r="F22" s="666"/>
      <c r="G22" s="664"/>
      <c r="H22" s="666"/>
      <c r="I22" s="664"/>
      <c r="J22" s="666"/>
      <c r="K22" s="19"/>
    </row>
    <row r="23" spans="1:11" x14ac:dyDescent="0.2">
      <c r="A23" s="656" t="s">
        <v>271</v>
      </c>
      <c r="B23" s="657"/>
      <c r="C23" s="657"/>
      <c r="D23" s="657"/>
      <c r="E23" s="657"/>
      <c r="F23" s="657"/>
      <c r="G23" s="657"/>
      <c r="H23" s="657"/>
      <c r="I23" s="657"/>
      <c r="J23" s="658"/>
      <c r="K23" s="19"/>
    </row>
    <row r="24" spans="1:11" x14ac:dyDescent="0.2">
      <c r="A24" s="664"/>
      <c r="B24" s="665"/>
      <c r="C24" s="665"/>
      <c r="D24" s="665"/>
      <c r="E24" s="665"/>
      <c r="F24" s="665"/>
      <c r="G24" s="665"/>
      <c r="H24" s="665"/>
      <c r="I24" s="665"/>
      <c r="J24" s="666"/>
      <c r="K24" s="19"/>
    </row>
    <row r="25" spans="1:11" x14ac:dyDescent="0.2">
      <c r="A25" s="656" t="s">
        <v>244</v>
      </c>
      <c r="B25" s="657"/>
      <c r="C25" s="657"/>
      <c r="D25" s="657"/>
      <c r="E25" s="658"/>
      <c r="F25" s="656" t="s">
        <v>245</v>
      </c>
      <c r="G25" s="658"/>
      <c r="H25" s="656" t="s">
        <v>270</v>
      </c>
      <c r="I25" s="657"/>
      <c r="J25" s="658"/>
      <c r="K25" s="19"/>
    </row>
    <row r="26" spans="1:11" x14ac:dyDescent="0.2">
      <c r="A26" s="664"/>
      <c r="B26" s="665"/>
      <c r="C26" s="665"/>
      <c r="D26" s="665"/>
      <c r="E26" s="666"/>
      <c r="F26" s="664"/>
      <c r="G26" s="666"/>
      <c r="H26" s="664"/>
      <c r="I26" s="665"/>
      <c r="J26" s="666"/>
      <c r="K26" s="19"/>
    </row>
    <row r="27" spans="1:11" x14ac:dyDescent="0.2">
      <c r="A27" s="19"/>
      <c r="B27" s="19"/>
      <c r="C27" s="19"/>
      <c r="D27" s="19"/>
      <c r="E27" s="19"/>
      <c r="F27" s="19"/>
      <c r="G27" s="19"/>
      <c r="H27" s="19"/>
      <c r="I27" s="19"/>
      <c r="J27" s="19"/>
      <c r="K27" s="19"/>
    </row>
    <row r="28" spans="1:11" ht="15" x14ac:dyDescent="0.25">
      <c r="B28" s="651" t="s">
        <v>272</v>
      </c>
      <c r="C28" s="651"/>
      <c r="D28" s="651"/>
      <c r="E28" s="651"/>
      <c r="F28" s="651"/>
      <c r="G28" s="651"/>
      <c r="H28" s="651"/>
      <c r="I28" s="651"/>
      <c r="J28" s="651"/>
      <c r="K28" s="19"/>
    </row>
    <row r="29" spans="1:11" x14ac:dyDescent="0.2">
      <c r="A29" s="656" t="s">
        <v>273</v>
      </c>
      <c r="B29" s="657"/>
      <c r="C29" s="657"/>
      <c r="D29" s="657"/>
      <c r="E29" s="657"/>
      <c r="F29" s="658"/>
      <c r="G29" s="109" t="s">
        <v>274</v>
      </c>
      <c r="H29" s="109"/>
      <c r="I29" s="109"/>
      <c r="J29" s="112"/>
      <c r="K29" s="19"/>
    </row>
    <row r="30" spans="1:11" x14ac:dyDescent="0.2">
      <c r="A30" s="664"/>
      <c r="B30" s="665"/>
      <c r="C30" s="665"/>
      <c r="D30" s="665"/>
      <c r="E30" s="665"/>
      <c r="F30" s="666"/>
      <c r="G30" s="674"/>
      <c r="H30" s="675"/>
      <c r="I30" s="675"/>
      <c r="J30" s="676"/>
      <c r="K30" s="19"/>
    </row>
    <row r="31" spans="1:11" x14ac:dyDescent="0.2">
      <c r="A31" s="656" t="s">
        <v>275</v>
      </c>
      <c r="B31" s="657"/>
      <c r="C31" s="657"/>
      <c r="D31" s="657"/>
      <c r="E31" s="658"/>
      <c r="F31" s="656" t="s">
        <v>250</v>
      </c>
      <c r="G31" s="657"/>
      <c r="H31" s="657"/>
      <c r="I31" s="657"/>
      <c r="J31" s="658"/>
      <c r="K31" s="19"/>
    </row>
    <row r="32" spans="1:11" x14ac:dyDescent="0.2">
      <c r="A32" s="664"/>
      <c r="B32" s="665"/>
      <c r="C32" s="665"/>
      <c r="D32" s="665"/>
      <c r="E32" s="666"/>
      <c r="F32" s="667" t="s">
        <v>297</v>
      </c>
      <c r="G32" s="665"/>
      <c r="H32" s="665"/>
      <c r="I32" s="665"/>
      <c r="J32" s="666"/>
      <c r="K32" s="19"/>
    </row>
    <row r="33" spans="1:11" x14ac:dyDescent="0.2">
      <c r="A33" s="656" t="s">
        <v>251</v>
      </c>
      <c r="B33" s="657"/>
      <c r="C33" s="657"/>
      <c r="D33" s="658"/>
      <c r="E33" s="656" t="s">
        <v>252</v>
      </c>
      <c r="F33" s="657"/>
      <c r="G33" s="658"/>
      <c r="H33" s="656" t="s">
        <v>253</v>
      </c>
      <c r="I33" s="657"/>
      <c r="J33" s="658"/>
      <c r="K33" s="19"/>
    </row>
    <row r="34" spans="1:11" x14ac:dyDescent="0.2">
      <c r="A34" s="664"/>
      <c r="B34" s="665"/>
      <c r="C34" s="665"/>
      <c r="D34" s="666"/>
      <c r="E34" s="664"/>
      <c r="F34" s="665"/>
      <c r="G34" s="666"/>
      <c r="H34" s="664"/>
      <c r="I34" s="665"/>
      <c r="J34" s="666"/>
      <c r="K34" s="19"/>
    </row>
    <row r="35" spans="1:11" x14ac:dyDescent="0.2">
      <c r="A35" s="656" t="s">
        <v>254</v>
      </c>
      <c r="B35" s="657"/>
      <c r="C35" s="657"/>
      <c r="D35" s="657"/>
      <c r="E35" s="657"/>
      <c r="F35" s="657"/>
      <c r="G35" s="657"/>
      <c r="H35" s="657"/>
      <c r="I35" s="657"/>
      <c r="J35" s="658"/>
      <c r="K35" s="19"/>
    </row>
    <row r="36" spans="1:11" ht="13.5" thickBot="1" x14ac:dyDescent="0.25">
      <c r="A36" s="119"/>
      <c r="B36" s="116" t="s">
        <v>276</v>
      </c>
      <c r="C36" s="120"/>
      <c r="D36" s="116" t="s">
        <v>276</v>
      </c>
      <c r="E36" s="121"/>
      <c r="F36" s="116" t="s">
        <v>277</v>
      </c>
      <c r="G36" s="121"/>
      <c r="H36" s="116" t="s">
        <v>278</v>
      </c>
      <c r="I36" s="121"/>
      <c r="J36" s="123" t="s">
        <v>281</v>
      </c>
      <c r="K36" s="19"/>
    </row>
    <row r="37" spans="1:11" x14ac:dyDescent="0.2">
      <c r="A37" s="662" t="s">
        <v>282</v>
      </c>
      <c r="B37" s="657"/>
      <c r="C37" s="663"/>
      <c r="D37" s="657"/>
      <c r="E37" s="663"/>
      <c r="F37" s="658"/>
      <c r="G37" s="662" t="s">
        <v>283</v>
      </c>
      <c r="H37" s="657"/>
      <c r="I37" s="663"/>
      <c r="J37" s="658"/>
      <c r="K37" s="19"/>
    </row>
    <row r="38" spans="1:11" x14ac:dyDescent="0.2">
      <c r="A38" s="664"/>
      <c r="B38" s="665"/>
      <c r="C38" s="665"/>
      <c r="D38" s="665"/>
      <c r="E38" s="665"/>
      <c r="F38" s="666"/>
      <c r="G38" s="664"/>
      <c r="H38" s="665"/>
      <c r="I38" s="665"/>
      <c r="J38" s="666"/>
      <c r="K38" s="19"/>
    </row>
    <row r="39" spans="1:11" x14ac:dyDescent="0.2">
      <c r="A39" s="656" t="s">
        <v>284</v>
      </c>
      <c r="B39" s="657"/>
      <c r="C39" s="657"/>
      <c r="D39" s="657"/>
      <c r="E39" s="657"/>
      <c r="F39" s="657"/>
      <c r="G39" s="657"/>
      <c r="H39" s="657"/>
      <c r="I39" s="657"/>
      <c r="J39" s="658"/>
      <c r="K39" s="19"/>
    </row>
    <row r="40" spans="1:11" ht="13.5" thickBot="1" x14ac:dyDescent="0.25">
      <c r="A40" s="119"/>
      <c r="B40" s="108" t="s">
        <v>276</v>
      </c>
      <c r="C40" s="120"/>
      <c r="D40" s="108" t="s">
        <v>276</v>
      </c>
      <c r="E40" s="121"/>
      <c r="F40" s="108" t="s">
        <v>277</v>
      </c>
      <c r="G40" s="121"/>
      <c r="H40" s="116" t="s">
        <v>278</v>
      </c>
      <c r="I40" s="121"/>
      <c r="J40" s="123" t="s">
        <v>281</v>
      </c>
      <c r="K40" s="19"/>
    </row>
    <row r="41" spans="1:11" x14ac:dyDescent="0.2">
      <c r="A41" s="662" t="s">
        <v>285</v>
      </c>
      <c r="B41" s="657"/>
      <c r="C41" s="663"/>
      <c r="D41" s="657"/>
      <c r="E41" s="663"/>
      <c r="F41" s="657"/>
      <c r="G41" s="677"/>
      <c r="H41" s="113" t="s">
        <v>255</v>
      </c>
      <c r="I41" s="20"/>
      <c r="J41" s="115"/>
      <c r="K41" s="19"/>
    </row>
    <row r="42" spans="1:11" x14ac:dyDescent="0.2">
      <c r="A42" s="659"/>
      <c r="B42" s="660"/>
      <c r="C42" s="660"/>
      <c r="D42" s="660"/>
      <c r="E42" s="660"/>
      <c r="F42" s="660"/>
      <c r="G42" s="661"/>
      <c r="H42" s="662" t="s">
        <v>291</v>
      </c>
      <c r="I42" s="663"/>
      <c r="J42" s="130"/>
      <c r="K42" s="19"/>
    </row>
    <row r="43" spans="1:11" x14ac:dyDescent="0.2">
      <c r="A43" s="656" t="s">
        <v>286</v>
      </c>
      <c r="B43" s="657"/>
      <c r="C43" s="657"/>
      <c r="D43" s="657"/>
      <c r="E43" s="657"/>
      <c r="F43" s="657"/>
      <c r="G43" s="658"/>
      <c r="H43" s="662" t="s">
        <v>292</v>
      </c>
      <c r="I43" s="663"/>
      <c r="J43" s="131"/>
      <c r="K43" s="19"/>
    </row>
    <row r="44" spans="1:11" x14ac:dyDescent="0.2">
      <c r="A44" s="659"/>
      <c r="B44" s="660"/>
      <c r="C44" s="660"/>
      <c r="D44" s="660"/>
      <c r="E44" s="660"/>
      <c r="F44" s="660"/>
      <c r="G44" s="661"/>
      <c r="H44" s="128"/>
      <c r="I44" s="20"/>
      <c r="J44" s="129"/>
      <c r="K44" s="19"/>
    </row>
    <row r="45" spans="1:11" x14ac:dyDescent="0.2">
      <c r="A45" s="113" t="s">
        <v>289</v>
      </c>
      <c r="B45" s="114"/>
      <c r="C45" s="114"/>
      <c r="D45" s="114"/>
      <c r="E45" s="114"/>
      <c r="F45" s="114"/>
      <c r="G45" s="115"/>
      <c r="H45" s="122" t="s">
        <v>293</v>
      </c>
      <c r="I45" s="20"/>
      <c r="J45" s="129"/>
      <c r="K45" s="19"/>
    </row>
    <row r="46" spans="1:11" x14ac:dyDescent="0.2">
      <c r="A46" s="126" t="s">
        <v>287</v>
      </c>
      <c r="B46" s="117"/>
      <c r="C46" s="127" t="s">
        <v>290</v>
      </c>
      <c r="D46" s="117"/>
      <c r="E46" s="127" t="s">
        <v>288</v>
      </c>
      <c r="F46" s="117"/>
      <c r="G46" s="118"/>
      <c r="H46" s="110" t="s">
        <v>294</v>
      </c>
      <c r="I46" s="107"/>
      <c r="J46" s="111"/>
      <c r="K46" s="19"/>
    </row>
    <row r="47" spans="1:11" x14ac:dyDescent="0.2">
      <c r="A47" s="19"/>
      <c r="B47" s="19"/>
      <c r="C47" s="19"/>
      <c r="D47" s="19"/>
      <c r="E47" s="19"/>
      <c r="F47" s="19"/>
      <c r="G47" s="19"/>
      <c r="H47" s="19"/>
      <c r="I47" s="19"/>
      <c r="J47" s="19"/>
      <c r="K47" s="19"/>
    </row>
    <row r="48" spans="1:11" ht="15" x14ac:dyDescent="0.25">
      <c r="A48" s="132"/>
      <c r="B48" s="133" t="s">
        <v>256</v>
      </c>
      <c r="C48" s="132"/>
      <c r="D48" s="132"/>
      <c r="E48" s="132"/>
      <c r="F48" s="132"/>
      <c r="G48" s="132"/>
      <c r="H48" s="132"/>
      <c r="I48" s="132"/>
      <c r="J48" s="132"/>
      <c r="K48" s="19"/>
    </row>
    <row r="49" spans="1:12" x14ac:dyDescent="0.2">
      <c r="A49" s="652" t="s">
        <v>304</v>
      </c>
      <c r="B49" s="653" t="b">
        <v>1</v>
      </c>
      <c r="C49" s="653"/>
      <c r="D49" s="134"/>
      <c r="E49" s="134"/>
      <c r="F49" s="134"/>
      <c r="G49" s="134"/>
      <c r="H49" s="134"/>
      <c r="I49" s="134"/>
      <c r="J49" s="135"/>
      <c r="K49" s="20"/>
      <c r="L49" s="23"/>
    </row>
    <row r="50" spans="1:12" x14ac:dyDescent="0.2">
      <c r="A50" s="654" t="s">
        <v>296</v>
      </c>
      <c r="B50" s="655" t="b">
        <v>1</v>
      </c>
      <c r="C50" s="655"/>
      <c r="D50" s="136"/>
      <c r="E50" s="136"/>
      <c r="F50" s="136"/>
      <c r="G50" s="136"/>
      <c r="H50" s="136"/>
      <c r="I50" s="136"/>
      <c r="J50" s="130"/>
      <c r="K50" s="20"/>
      <c r="L50" s="23"/>
    </row>
    <row r="51" spans="1:12" x14ac:dyDescent="0.2">
      <c r="A51" s="680" t="s">
        <v>295</v>
      </c>
      <c r="B51" s="681" t="b">
        <v>1</v>
      </c>
      <c r="C51" s="681"/>
      <c r="D51" s="137"/>
      <c r="E51" s="137"/>
      <c r="F51" s="137"/>
      <c r="G51" s="137"/>
      <c r="H51" s="137"/>
      <c r="I51" s="137"/>
      <c r="J51" s="138"/>
      <c r="K51" s="20"/>
      <c r="L51" s="23"/>
    </row>
    <row r="52" spans="1:12" x14ac:dyDescent="0.2">
      <c r="A52" s="19"/>
      <c r="B52" s="19"/>
      <c r="C52" s="19"/>
      <c r="D52" s="19"/>
      <c r="E52" s="19"/>
      <c r="F52" s="19"/>
      <c r="G52" s="19"/>
      <c r="H52" s="19"/>
      <c r="I52" s="19"/>
      <c r="J52" s="20"/>
      <c r="K52" s="20"/>
      <c r="L52" s="23"/>
    </row>
    <row r="53" spans="1:12" ht="15" x14ac:dyDescent="0.25">
      <c r="A53" s="19"/>
      <c r="B53" s="650" t="s">
        <v>298</v>
      </c>
      <c r="C53" s="650"/>
      <c r="D53" s="650"/>
      <c r="E53" s="650"/>
      <c r="F53" s="650"/>
      <c r="G53" s="650"/>
      <c r="H53" s="651"/>
      <c r="I53" s="651"/>
      <c r="J53" s="651"/>
      <c r="K53" s="20"/>
      <c r="L53" s="23"/>
    </row>
    <row r="54" spans="1:12" x14ac:dyDescent="0.2">
      <c r="A54" s="113" t="s">
        <v>299</v>
      </c>
      <c r="B54" s="114"/>
      <c r="C54" s="114"/>
      <c r="D54" s="114"/>
      <c r="E54" s="114"/>
      <c r="F54" s="114"/>
      <c r="G54" s="115"/>
      <c r="H54" s="656" t="s">
        <v>257</v>
      </c>
      <c r="I54" s="657"/>
      <c r="J54" s="658"/>
      <c r="K54" s="19"/>
    </row>
    <row r="55" spans="1:12" x14ac:dyDescent="0.2">
      <c r="A55" s="664"/>
      <c r="B55" s="665"/>
      <c r="C55" s="665"/>
      <c r="D55" s="665"/>
      <c r="E55" s="665"/>
      <c r="F55" s="665"/>
      <c r="G55" s="666"/>
      <c r="H55" s="664"/>
      <c r="I55" s="665"/>
      <c r="J55" s="666"/>
      <c r="K55" s="19"/>
    </row>
    <row r="56" spans="1:12" x14ac:dyDescent="0.2">
      <c r="A56" s="656" t="s">
        <v>300</v>
      </c>
      <c r="B56" s="657"/>
      <c r="C56" s="657"/>
      <c r="D56" s="657"/>
      <c r="E56" s="657"/>
      <c r="F56" s="657"/>
      <c r="G56" s="658"/>
      <c r="H56" s="656" t="s">
        <v>302</v>
      </c>
      <c r="I56" s="657"/>
      <c r="J56" s="658"/>
      <c r="K56" s="19"/>
    </row>
    <row r="57" spans="1:12" x14ac:dyDescent="0.2">
      <c r="A57" s="664"/>
      <c r="B57" s="665"/>
      <c r="C57" s="665"/>
      <c r="D57" s="665"/>
      <c r="E57" s="665"/>
      <c r="F57" s="665"/>
      <c r="G57" s="666"/>
      <c r="H57" s="659"/>
      <c r="I57" s="660"/>
      <c r="J57" s="661"/>
      <c r="K57" s="19"/>
    </row>
    <row r="58" spans="1:12" x14ac:dyDescent="0.2">
      <c r="A58" s="113" t="s">
        <v>301</v>
      </c>
      <c r="B58" s="114"/>
      <c r="C58" s="114"/>
      <c r="D58" s="139"/>
      <c r="E58" s="114"/>
      <c r="F58" s="114"/>
      <c r="G58" s="114"/>
      <c r="H58" s="114"/>
      <c r="I58" s="114"/>
      <c r="J58" s="115"/>
      <c r="K58" s="19"/>
    </row>
    <row r="59" spans="1:12" x14ac:dyDescent="0.2">
      <c r="A59" s="122"/>
      <c r="B59" s="20"/>
      <c r="C59" s="20"/>
      <c r="D59" s="141"/>
      <c r="E59" s="20"/>
      <c r="F59" s="20"/>
      <c r="G59" s="20"/>
      <c r="H59" s="20"/>
      <c r="I59" s="20"/>
      <c r="J59" s="129"/>
      <c r="K59" s="19"/>
    </row>
    <row r="60" spans="1:12" ht="13.5" thickBot="1" x14ac:dyDescent="0.25">
      <c r="A60" s="662" t="s">
        <v>303</v>
      </c>
      <c r="B60" s="663"/>
      <c r="C60" s="663"/>
      <c r="D60" s="140" t="b">
        <v>1</v>
      </c>
      <c r="E60" s="20"/>
      <c r="F60" s="663" t="s">
        <v>309</v>
      </c>
      <c r="G60" s="663"/>
      <c r="H60" s="663"/>
      <c r="I60" s="678"/>
      <c r="J60" s="679"/>
      <c r="K60" s="19"/>
    </row>
    <row r="61" spans="1:12" ht="13.5" thickBot="1" x14ac:dyDescent="0.25">
      <c r="A61" s="662" t="s">
        <v>305</v>
      </c>
      <c r="B61" s="663"/>
      <c r="C61" s="663"/>
      <c r="D61" s="140" t="b">
        <v>1</v>
      </c>
      <c r="E61" s="20"/>
      <c r="F61" s="116" t="s">
        <v>308</v>
      </c>
      <c r="G61" s="20"/>
      <c r="H61" s="20"/>
      <c r="I61" s="682"/>
      <c r="J61" s="683"/>
      <c r="K61" s="19"/>
    </row>
    <row r="62" spans="1:12" ht="13.5" thickBot="1" x14ac:dyDescent="0.25">
      <c r="A62" s="662" t="s">
        <v>306</v>
      </c>
      <c r="B62" s="663"/>
      <c r="C62" s="663"/>
      <c r="D62" s="140" t="b">
        <v>1</v>
      </c>
      <c r="E62" s="20"/>
      <c r="F62" s="116" t="s">
        <v>309</v>
      </c>
      <c r="G62" s="20"/>
      <c r="H62" s="20"/>
      <c r="I62" s="682"/>
      <c r="J62" s="683"/>
      <c r="K62" s="19"/>
    </row>
    <row r="63" spans="1:12" ht="13.5" thickBot="1" x14ac:dyDescent="0.25">
      <c r="A63" s="667" t="s">
        <v>307</v>
      </c>
      <c r="B63" s="670"/>
      <c r="C63" s="670"/>
      <c r="D63" s="142" t="b">
        <v>1</v>
      </c>
      <c r="E63" s="107"/>
      <c r="F63" s="108" t="s">
        <v>310</v>
      </c>
      <c r="G63" s="107"/>
      <c r="H63" s="107"/>
      <c r="I63" s="682"/>
      <c r="J63" s="683"/>
      <c r="K63" s="19"/>
    </row>
    <row r="64" spans="1:12" x14ac:dyDescent="0.2">
      <c r="A64" s="19"/>
      <c r="B64" s="19"/>
      <c r="C64" s="19"/>
      <c r="D64" s="19"/>
      <c r="E64" s="19"/>
      <c r="F64" s="19"/>
      <c r="G64" s="19"/>
      <c r="H64" s="19"/>
      <c r="I64" s="19"/>
      <c r="J64" s="19"/>
      <c r="K64" s="19"/>
    </row>
    <row r="65" spans="1:11" ht="15" x14ac:dyDescent="0.25">
      <c r="A65" s="19"/>
      <c r="B65" s="650" t="s">
        <v>311</v>
      </c>
      <c r="C65" s="650"/>
      <c r="D65" s="650"/>
      <c r="E65" s="650"/>
      <c r="F65" s="650"/>
      <c r="G65" s="650"/>
      <c r="H65" s="651"/>
      <c r="I65" s="651"/>
      <c r="J65" s="651"/>
      <c r="K65" s="19"/>
    </row>
    <row r="66" spans="1:11" x14ac:dyDescent="0.2">
      <c r="A66" s="106" t="s">
        <v>259</v>
      </c>
      <c r="C66" s="19"/>
      <c r="D66" s="19"/>
      <c r="E66" s="19"/>
      <c r="F66" s="19"/>
      <c r="G66" s="19"/>
      <c r="H66" s="19"/>
      <c r="I66" s="19"/>
      <c r="J66" s="19"/>
      <c r="K66" s="19"/>
    </row>
    <row r="67" spans="1:11" x14ac:dyDescent="0.2">
      <c r="A67" s="106" t="s">
        <v>258</v>
      </c>
      <c r="C67" s="19"/>
      <c r="D67" s="19"/>
      <c r="E67" s="19"/>
      <c r="F67" s="19"/>
      <c r="G67" s="19"/>
      <c r="H67" s="19"/>
      <c r="I67" s="19"/>
      <c r="J67" s="19"/>
      <c r="K67" s="19"/>
    </row>
    <row r="68" spans="1:11" x14ac:dyDescent="0.2">
      <c r="A68" s="19"/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69" spans="1:11" x14ac:dyDescent="0.2">
      <c r="A69" s="106" t="s">
        <v>312</v>
      </c>
      <c r="C69" s="19"/>
      <c r="D69" s="19"/>
      <c r="E69" s="19"/>
      <c r="F69" s="19"/>
      <c r="H69" s="106" t="s">
        <v>313</v>
      </c>
      <c r="I69" s="19"/>
      <c r="J69" s="19"/>
      <c r="K69" s="19"/>
    </row>
    <row r="70" spans="1:11" x14ac:dyDescent="0.2">
      <c r="A70" s="19"/>
      <c r="C70" s="19"/>
      <c r="D70" s="19"/>
      <c r="E70" s="19"/>
      <c r="F70" s="19"/>
      <c r="G70" s="19"/>
      <c r="H70" s="19"/>
      <c r="I70" s="19"/>
      <c r="J70" s="19"/>
      <c r="K70" s="19"/>
    </row>
    <row r="71" spans="1:11" x14ac:dyDescent="0.2">
      <c r="A71" s="106" t="s">
        <v>314</v>
      </c>
      <c r="C71" s="19"/>
      <c r="D71" s="19"/>
      <c r="E71" s="19"/>
      <c r="F71" s="19"/>
      <c r="G71" s="19"/>
      <c r="H71" s="106" t="s">
        <v>315</v>
      </c>
      <c r="I71" s="19"/>
      <c r="J71" s="19"/>
      <c r="K71" s="19"/>
    </row>
    <row r="72" spans="1:11" x14ac:dyDescent="0.2">
      <c r="A72" s="19"/>
      <c r="B72" s="19"/>
      <c r="C72" s="19"/>
      <c r="D72" s="19"/>
      <c r="E72" s="19"/>
      <c r="F72" s="19"/>
      <c r="G72" s="19"/>
      <c r="H72" s="19"/>
      <c r="I72" s="19"/>
      <c r="J72" s="19"/>
      <c r="K72" s="19"/>
    </row>
    <row r="73" spans="1:11" x14ac:dyDescent="0.2">
      <c r="A73" s="106" t="s">
        <v>316</v>
      </c>
      <c r="B73" s="19"/>
      <c r="C73" s="19"/>
      <c r="D73" s="19"/>
      <c r="E73" s="106" t="s">
        <v>232</v>
      </c>
      <c r="F73" s="19"/>
      <c r="G73" s="19"/>
      <c r="H73" s="106" t="s">
        <v>233</v>
      </c>
      <c r="I73" s="19"/>
      <c r="J73" s="19"/>
      <c r="K73" s="19"/>
    </row>
    <row r="74" spans="1:11" x14ac:dyDescent="0.2">
      <c r="A74" s="19"/>
      <c r="B74" s="19"/>
      <c r="C74" s="19"/>
      <c r="D74" s="19"/>
      <c r="E74" s="19"/>
      <c r="F74" s="19"/>
      <c r="G74" s="19"/>
      <c r="H74" s="19"/>
      <c r="I74" s="19"/>
      <c r="J74" s="19"/>
      <c r="K74" s="19"/>
    </row>
    <row r="75" spans="1:11" x14ac:dyDescent="0.2">
      <c r="A75" s="106" t="s">
        <v>317</v>
      </c>
      <c r="B75" s="19"/>
      <c r="C75" s="19"/>
      <c r="D75" s="19"/>
      <c r="E75" s="19"/>
      <c r="F75" s="19"/>
      <c r="G75" s="19"/>
      <c r="H75" s="19"/>
      <c r="I75" s="19"/>
      <c r="J75" s="19"/>
      <c r="K75" s="19"/>
    </row>
    <row r="76" spans="1:11" x14ac:dyDescent="0.2">
      <c r="A76" s="19"/>
      <c r="B76" s="19"/>
      <c r="C76" s="19"/>
      <c r="D76" s="19"/>
      <c r="E76" s="19"/>
      <c r="F76" s="19"/>
      <c r="G76" s="19"/>
      <c r="H76" s="19"/>
      <c r="I76" s="19"/>
      <c r="J76" s="19"/>
      <c r="K76" s="19"/>
    </row>
    <row r="77" spans="1:11" x14ac:dyDescent="0.2">
      <c r="A77" s="19"/>
      <c r="B77" s="19"/>
      <c r="C77" s="19"/>
      <c r="D77" s="19"/>
      <c r="E77" s="19"/>
      <c r="F77" s="19"/>
      <c r="G77" s="19"/>
      <c r="H77" s="19"/>
      <c r="I77" s="19"/>
      <c r="J77" s="19"/>
      <c r="K77" s="19"/>
    </row>
    <row r="78" spans="1:11" x14ac:dyDescent="0.2">
      <c r="A78" s="19"/>
      <c r="B78" s="19"/>
      <c r="C78" s="19"/>
      <c r="D78" s="19"/>
      <c r="E78" s="19"/>
      <c r="F78" s="19"/>
      <c r="G78" s="19"/>
      <c r="H78" s="19"/>
      <c r="I78" s="19"/>
      <c r="J78" s="19"/>
      <c r="K78" s="19"/>
    </row>
    <row r="79" spans="1:11" x14ac:dyDescent="0.2">
      <c r="A79" s="19"/>
      <c r="B79" s="19"/>
      <c r="C79" s="19"/>
      <c r="D79" s="19"/>
      <c r="E79" s="19"/>
      <c r="F79" s="19"/>
      <c r="G79" s="19"/>
      <c r="H79" s="19"/>
      <c r="I79" s="19"/>
      <c r="J79" s="19"/>
      <c r="K79" s="19"/>
    </row>
    <row r="80" spans="1:11" x14ac:dyDescent="0.2">
      <c r="A80" s="19"/>
      <c r="B80" s="19"/>
      <c r="C80" s="19"/>
      <c r="D80" s="19"/>
      <c r="E80" s="19"/>
      <c r="F80" s="19"/>
      <c r="G80" s="19"/>
      <c r="H80" s="19"/>
      <c r="I80" s="19"/>
      <c r="J80" s="19"/>
      <c r="K80" s="19"/>
    </row>
    <row r="81" spans="1:11" x14ac:dyDescent="0.2">
      <c r="A81" s="19"/>
      <c r="B81" s="19"/>
      <c r="C81" s="19"/>
      <c r="D81" s="19"/>
      <c r="E81" s="19"/>
      <c r="F81" s="19"/>
      <c r="G81" s="19"/>
      <c r="H81" s="19"/>
      <c r="I81" s="19"/>
      <c r="J81" s="19"/>
      <c r="K81" s="19"/>
    </row>
    <row r="82" spans="1:11" x14ac:dyDescent="0.2">
      <c r="A82" s="19"/>
      <c r="B82" s="19"/>
      <c r="C82" s="19"/>
      <c r="D82" s="19"/>
      <c r="E82" s="19"/>
      <c r="F82" s="19"/>
      <c r="G82" s="19"/>
      <c r="H82" s="19"/>
      <c r="I82" s="19"/>
      <c r="J82" s="19"/>
      <c r="K82" s="19"/>
    </row>
    <row r="83" spans="1:11" x14ac:dyDescent="0.2">
      <c r="A83" s="19"/>
      <c r="B83" s="19"/>
      <c r="C83" s="19"/>
      <c r="D83" s="19"/>
      <c r="E83" s="19"/>
      <c r="F83" s="19"/>
      <c r="G83" s="19"/>
      <c r="H83" s="19"/>
      <c r="I83" s="19"/>
      <c r="J83" s="19"/>
      <c r="K83" s="19"/>
    </row>
    <row r="84" spans="1:11" x14ac:dyDescent="0.2">
      <c r="A84" s="19"/>
      <c r="B84" s="19"/>
      <c r="C84" s="19"/>
      <c r="D84" s="19"/>
      <c r="E84" s="19"/>
      <c r="F84" s="19"/>
      <c r="G84" s="19"/>
      <c r="H84" s="19"/>
      <c r="I84" s="19"/>
      <c r="J84" s="19"/>
      <c r="K84" s="19"/>
    </row>
    <row r="85" spans="1:11" x14ac:dyDescent="0.2">
      <c r="A85" s="19"/>
      <c r="B85" s="19"/>
      <c r="C85" s="19"/>
      <c r="D85" s="19"/>
      <c r="E85" s="19"/>
      <c r="F85" s="19"/>
      <c r="G85" s="19"/>
      <c r="H85" s="19"/>
      <c r="I85" s="19"/>
      <c r="J85" s="19"/>
      <c r="K85" s="19"/>
    </row>
    <row r="86" spans="1:11" x14ac:dyDescent="0.2">
      <c r="A86" s="19"/>
      <c r="B86" s="19"/>
      <c r="C86" s="19"/>
      <c r="D86" s="19"/>
      <c r="E86" s="19"/>
      <c r="F86" s="19"/>
      <c r="G86" s="19"/>
      <c r="H86" s="19"/>
      <c r="I86" s="19"/>
      <c r="J86" s="19"/>
      <c r="K86" s="19"/>
    </row>
    <row r="87" spans="1:11" x14ac:dyDescent="0.2">
      <c r="A87" s="19"/>
      <c r="B87" s="19"/>
      <c r="C87" s="19"/>
      <c r="D87" s="19"/>
      <c r="E87" s="19"/>
      <c r="F87" s="19"/>
      <c r="G87" s="19"/>
      <c r="H87" s="19"/>
      <c r="I87" s="19"/>
      <c r="J87" s="19"/>
      <c r="K87" s="19"/>
    </row>
    <row r="88" spans="1:11" x14ac:dyDescent="0.2">
      <c r="A88" s="19"/>
      <c r="B88" s="19"/>
      <c r="C88" s="19"/>
      <c r="D88" s="19"/>
      <c r="E88" s="19"/>
      <c r="F88" s="19"/>
      <c r="G88" s="19"/>
      <c r="H88" s="19"/>
      <c r="I88" s="19"/>
      <c r="J88" s="19"/>
      <c r="K88" s="19"/>
    </row>
    <row r="89" spans="1:11" x14ac:dyDescent="0.2">
      <c r="A89" s="19"/>
      <c r="B89" s="19"/>
      <c r="C89" s="19"/>
      <c r="D89" s="19"/>
      <c r="E89" s="19"/>
      <c r="F89" s="19"/>
      <c r="G89" s="19"/>
      <c r="H89" s="19"/>
      <c r="I89" s="19"/>
      <c r="J89" s="19"/>
      <c r="K89" s="19"/>
    </row>
    <row r="90" spans="1:11" x14ac:dyDescent="0.2">
      <c r="A90" s="19"/>
      <c r="B90" s="19"/>
      <c r="C90" s="19"/>
      <c r="D90" s="19"/>
      <c r="E90" s="19"/>
      <c r="F90" s="19"/>
      <c r="G90" s="19"/>
      <c r="H90" s="19"/>
      <c r="I90" s="19"/>
      <c r="J90" s="19"/>
      <c r="K90" s="19"/>
    </row>
    <row r="91" spans="1:11" x14ac:dyDescent="0.2">
      <c r="A91" s="19"/>
      <c r="B91" s="19"/>
      <c r="C91" s="19"/>
      <c r="D91" s="19"/>
      <c r="E91" s="19"/>
      <c r="F91" s="19"/>
      <c r="G91" s="19"/>
      <c r="H91" s="19"/>
      <c r="I91" s="19"/>
      <c r="J91" s="19"/>
      <c r="K91" s="19"/>
    </row>
    <row r="92" spans="1:11" x14ac:dyDescent="0.2">
      <c r="A92" s="19"/>
      <c r="B92" s="19"/>
      <c r="C92" s="19"/>
      <c r="D92" s="19"/>
      <c r="E92" s="19"/>
      <c r="F92" s="19"/>
      <c r="G92" s="19"/>
      <c r="H92" s="19"/>
      <c r="I92" s="19"/>
      <c r="J92" s="19"/>
      <c r="K92" s="19"/>
    </row>
    <row r="93" spans="1:11" x14ac:dyDescent="0.2">
      <c r="A93" s="19"/>
      <c r="B93" s="19"/>
      <c r="C93" s="19"/>
      <c r="D93" s="19"/>
      <c r="E93" s="19"/>
      <c r="F93" s="19"/>
      <c r="G93" s="19"/>
      <c r="H93" s="19"/>
      <c r="I93" s="19"/>
      <c r="J93" s="19"/>
      <c r="K93" s="19"/>
    </row>
    <row r="94" spans="1:11" x14ac:dyDescent="0.2">
      <c r="A94" s="19"/>
      <c r="B94" s="19"/>
      <c r="C94" s="19"/>
      <c r="D94" s="19"/>
      <c r="E94" s="19"/>
      <c r="F94" s="19"/>
      <c r="G94" s="19"/>
      <c r="H94" s="19"/>
      <c r="I94" s="19"/>
      <c r="J94" s="19"/>
      <c r="K94" s="19"/>
    </row>
    <row r="95" spans="1:11" x14ac:dyDescent="0.2">
      <c r="A95" s="19"/>
      <c r="B95" s="19"/>
      <c r="C95" s="19"/>
      <c r="D95" s="19"/>
      <c r="E95" s="19"/>
      <c r="F95" s="19"/>
      <c r="G95" s="19"/>
      <c r="H95" s="19"/>
      <c r="I95" s="19"/>
      <c r="J95" s="19"/>
      <c r="K95" s="19"/>
    </row>
    <row r="96" spans="1:11" x14ac:dyDescent="0.2">
      <c r="A96" s="19"/>
      <c r="B96" s="19"/>
      <c r="C96" s="19"/>
      <c r="D96" s="19"/>
      <c r="E96" s="19"/>
      <c r="F96" s="19"/>
      <c r="G96" s="19"/>
      <c r="H96" s="19"/>
      <c r="I96" s="19"/>
      <c r="J96" s="19"/>
      <c r="K96" s="19"/>
    </row>
    <row r="97" spans="1:11" x14ac:dyDescent="0.2">
      <c r="A97" s="19"/>
      <c r="B97" s="19"/>
      <c r="C97" s="19"/>
      <c r="D97" s="19"/>
      <c r="E97" s="19"/>
      <c r="F97" s="19"/>
      <c r="G97" s="19"/>
      <c r="H97" s="19"/>
      <c r="I97" s="19"/>
      <c r="J97" s="19"/>
      <c r="K97" s="19"/>
    </row>
    <row r="98" spans="1:11" x14ac:dyDescent="0.2">
      <c r="A98" s="19"/>
      <c r="B98" s="19"/>
      <c r="C98" s="19"/>
      <c r="D98" s="19"/>
      <c r="E98" s="19"/>
      <c r="F98" s="19"/>
      <c r="G98" s="19"/>
      <c r="H98" s="19"/>
      <c r="I98" s="19"/>
      <c r="J98" s="19"/>
      <c r="K98" s="19"/>
    </row>
    <row r="99" spans="1:11" x14ac:dyDescent="0.2">
      <c r="A99" s="19"/>
      <c r="B99" s="19"/>
      <c r="C99" s="19"/>
      <c r="D99" s="19"/>
      <c r="E99" s="19"/>
      <c r="F99" s="19"/>
      <c r="G99" s="19"/>
      <c r="H99" s="19"/>
      <c r="I99" s="19"/>
      <c r="J99" s="19"/>
      <c r="K99" s="19"/>
    </row>
    <row r="100" spans="1:11" x14ac:dyDescent="0.2">
      <c r="A100" s="19"/>
      <c r="B100" s="19"/>
      <c r="C100" s="19"/>
      <c r="D100" s="19"/>
      <c r="E100" s="19"/>
      <c r="F100" s="19"/>
      <c r="G100" s="19"/>
      <c r="H100" s="19"/>
      <c r="I100" s="19"/>
      <c r="J100" s="19"/>
      <c r="K100" s="19"/>
    </row>
    <row r="101" spans="1:11" x14ac:dyDescent="0.2">
      <c r="A101" s="19"/>
      <c r="B101" s="19"/>
      <c r="C101" s="19"/>
      <c r="D101" s="19"/>
      <c r="E101" s="19"/>
      <c r="F101" s="19"/>
      <c r="G101" s="19"/>
      <c r="H101" s="19"/>
      <c r="I101" s="19"/>
      <c r="J101" s="19"/>
      <c r="K101" s="19"/>
    </row>
    <row r="102" spans="1:11" x14ac:dyDescent="0.2">
      <c r="A102" s="19"/>
      <c r="B102" s="19"/>
      <c r="C102" s="19"/>
      <c r="D102" s="19"/>
      <c r="E102" s="19"/>
      <c r="F102" s="19"/>
      <c r="G102" s="19"/>
      <c r="H102" s="19"/>
      <c r="I102" s="19"/>
      <c r="J102" s="19"/>
      <c r="K102" s="19"/>
    </row>
    <row r="103" spans="1:11" x14ac:dyDescent="0.2">
      <c r="A103" s="19"/>
      <c r="B103" s="19"/>
      <c r="C103" s="19"/>
      <c r="D103" s="19"/>
      <c r="E103" s="19"/>
      <c r="F103" s="19"/>
      <c r="G103" s="19"/>
      <c r="H103" s="19"/>
      <c r="I103" s="19"/>
      <c r="J103" s="19"/>
      <c r="K103" s="19"/>
    </row>
    <row r="104" spans="1:11" x14ac:dyDescent="0.2">
      <c r="A104" s="19"/>
      <c r="B104" s="19"/>
      <c r="C104" s="19"/>
      <c r="D104" s="19"/>
      <c r="E104" s="19"/>
      <c r="F104" s="19"/>
      <c r="G104" s="19"/>
      <c r="H104" s="19"/>
      <c r="I104" s="19"/>
      <c r="J104" s="19"/>
      <c r="K104" s="19"/>
    </row>
    <row r="105" spans="1:11" x14ac:dyDescent="0.2">
      <c r="A105" s="19"/>
      <c r="B105" s="19"/>
      <c r="C105" s="19"/>
      <c r="D105" s="19"/>
      <c r="E105" s="19"/>
      <c r="F105" s="19"/>
      <c r="G105" s="19"/>
      <c r="H105" s="19"/>
      <c r="I105" s="19"/>
      <c r="J105" s="19"/>
      <c r="K105" s="19"/>
    </row>
    <row r="106" spans="1:11" x14ac:dyDescent="0.2">
      <c r="A106" s="19"/>
      <c r="B106" s="19"/>
      <c r="C106" s="19"/>
      <c r="D106" s="19"/>
      <c r="E106" s="19"/>
      <c r="F106" s="19"/>
      <c r="G106" s="19"/>
      <c r="H106" s="19"/>
      <c r="I106" s="19"/>
      <c r="J106" s="19"/>
      <c r="K106" s="19"/>
    </row>
    <row r="107" spans="1:11" x14ac:dyDescent="0.2">
      <c r="A107" s="19"/>
      <c r="B107" s="19"/>
      <c r="C107" s="19"/>
      <c r="D107" s="19"/>
      <c r="E107" s="19"/>
      <c r="F107" s="19"/>
      <c r="G107" s="19"/>
      <c r="H107" s="19"/>
      <c r="I107" s="19"/>
      <c r="J107" s="19"/>
      <c r="K107" s="19"/>
    </row>
    <row r="108" spans="1:11" x14ac:dyDescent="0.2">
      <c r="A108" s="19"/>
      <c r="B108" s="19"/>
      <c r="C108" s="19"/>
      <c r="D108" s="19"/>
      <c r="E108" s="19"/>
      <c r="F108" s="19"/>
      <c r="G108" s="19"/>
      <c r="H108" s="19"/>
      <c r="I108" s="19"/>
      <c r="J108" s="19"/>
      <c r="K108" s="19"/>
    </row>
    <row r="109" spans="1:11" x14ac:dyDescent="0.2">
      <c r="A109" s="19"/>
      <c r="B109" s="19"/>
      <c r="C109" s="19"/>
      <c r="D109" s="19"/>
      <c r="E109" s="19"/>
      <c r="F109" s="19"/>
      <c r="G109" s="19"/>
      <c r="H109" s="19"/>
      <c r="I109" s="19"/>
      <c r="J109" s="19"/>
      <c r="K109" s="19"/>
    </row>
    <row r="110" spans="1:11" x14ac:dyDescent="0.2">
      <c r="A110" s="19"/>
      <c r="B110" s="19"/>
      <c r="C110" s="19"/>
      <c r="D110" s="19"/>
      <c r="E110" s="19"/>
      <c r="F110" s="19"/>
      <c r="G110" s="19"/>
      <c r="H110" s="19"/>
      <c r="I110" s="19"/>
      <c r="J110" s="19"/>
      <c r="K110" s="19"/>
    </row>
    <row r="111" spans="1:11" x14ac:dyDescent="0.2">
      <c r="A111" s="19"/>
      <c r="B111" s="19"/>
      <c r="C111" s="19"/>
      <c r="D111" s="19"/>
      <c r="E111" s="19"/>
      <c r="F111" s="19"/>
      <c r="G111" s="19"/>
      <c r="H111" s="19"/>
      <c r="I111" s="19"/>
      <c r="J111" s="19"/>
      <c r="K111" s="19"/>
    </row>
    <row r="112" spans="1:11" x14ac:dyDescent="0.2">
      <c r="A112" s="19"/>
      <c r="B112" s="19"/>
      <c r="C112" s="19"/>
      <c r="D112" s="19"/>
      <c r="E112" s="19"/>
      <c r="F112" s="19"/>
      <c r="G112" s="19"/>
      <c r="H112" s="19"/>
      <c r="I112" s="19"/>
      <c r="J112" s="19"/>
      <c r="K112" s="19"/>
    </row>
    <row r="113" spans="1:11" x14ac:dyDescent="0.2">
      <c r="A113" s="19"/>
      <c r="B113" s="19"/>
      <c r="C113" s="19"/>
      <c r="D113" s="19"/>
      <c r="E113" s="19"/>
      <c r="F113" s="19"/>
      <c r="G113" s="19"/>
      <c r="H113" s="19"/>
      <c r="I113" s="19"/>
      <c r="J113" s="19"/>
      <c r="K113" s="19"/>
    </row>
    <row r="114" spans="1:11" x14ac:dyDescent="0.2">
      <c r="A114" s="19"/>
      <c r="B114" s="19"/>
      <c r="C114" s="19"/>
      <c r="D114" s="19"/>
      <c r="E114" s="19"/>
      <c r="F114" s="19"/>
      <c r="G114" s="19"/>
      <c r="H114" s="19"/>
      <c r="I114" s="19"/>
      <c r="J114" s="19"/>
      <c r="K114" s="19"/>
    </row>
    <row r="115" spans="1:11" x14ac:dyDescent="0.2">
      <c r="A115" s="19"/>
      <c r="B115" s="19"/>
      <c r="C115" s="19"/>
      <c r="D115" s="19"/>
      <c r="E115" s="19"/>
      <c r="F115" s="19"/>
      <c r="G115" s="19"/>
      <c r="H115" s="19"/>
      <c r="I115" s="19"/>
      <c r="J115" s="19"/>
      <c r="K115" s="19"/>
    </row>
    <row r="116" spans="1:11" x14ac:dyDescent="0.2">
      <c r="A116" s="19"/>
      <c r="B116" s="19"/>
      <c r="C116" s="19"/>
      <c r="D116" s="19"/>
      <c r="E116" s="19"/>
      <c r="F116" s="19"/>
      <c r="G116" s="19"/>
      <c r="H116" s="19"/>
      <c r="I116" s="19"/>
      <c r="J116" s="19"/>
      <c r="K116" s="19"/>
    </row>
    <row r="117" spans="1:11" x14ac:dyDescent="0.2">
      <c r="A117" s="19"/>
      <c r="B117" s="19"/>
      <c r="C117" s="19"/>
      <c r="D117" s="19"/>
      <c r="E117" s="19"/>
      <c r="F117" s="19"/>
      <c r="G117" s="19"/>
      <c r="H117" s="19"/>
      <c r="I117" s="19"/>
      <c r="J117" s="19"/>
      <c r="K117" s="19"/>
    </row>
    <row r="118" spans="1:11" x14ac:dyDescent="0.2">
      <c r="A118" s="19"/>
      <c r="B118" s="19"/>
      <c r="C118" s="19"/>
      <c r="D118" s="19"/>
      <c r="E118" s="19"/>
      <c r="F118" s="19"/>
      <c r="G118" s="19"/>
      <c r="H118" s="19"/>
      <c r="I118" s="19"/>
      <c r="J118" s="19"/>
      <c r="K118" s="19"/>
    </row>
    <row r="119" spans="1:11" x14ac:dyDescent="0.2">
      <c r="A119" s="19"/>
      <c r="B119" s="19"/>
      <c r="C119" s="19"/>
      <c r="D119" s="19"/>
      <c r="E119" s="19"/>
      <c r="F119" s="19"/>
      <c r="G119" s="19"/>
      <c r="H119" s="19"/>
      <c r="I119" s="19"/>
      <c r="J119" s="19"/>
      <c r="K119" s="19"/>
    </row>
    <row r="120" spans="1:11" x14ac:dyDescent="0.2">
      <c r="A120" s="19"/>
      <c r="B120" s="19"/>
      <c r="C120" s="19"/>
      <c r="D120" s="19"/>
      <c r="E120" s="19"/>
      <c r="F120" s="19"/>
      <c r="G120" s="19"/>
      <c r="H120" s="19"/>
      <c r="I120" s="19"/>
      <c r="J120" s="19"/>
      <c r="K120" s="19"/>
    </row>
    <row r="121" spans="1:11" x14ac:dyDescent="0.2">
      <c r="A121" s="19"/>
      <c r="B121" s="19"/>
      <c r="C121" s="19"/>
      <c r="D121" s="19"/>
      <c r="E121" s="19"/>
      <c r="F121" s="19"/>
      <c r="G121" s="19"/>
      <c r="H121" s="19"/>
      <c r="I121" s="19"/>
      <c r="J121" s="19"/>
      <c r="K121" s="19"/>
    </row>
    <row r="122" spans="1:11" x14ac:dyDescent="0.2">
      <c r="A122" s="19"/>
      <c r="B122" s="19"/>
      <c r="C122" s="19"/>
      <c r="D122" s="19"/>
      <c r="E122" s="19"/>
      <c r="F122" s="19"/>
      <c r="G122" s="19"/>
      <c r="H122" s="19"/>
      <c r="I122" s="19"/>
      <c r="J122" s="19"/>
      <c r="K122" s="19"/>
    </row>
    <row r="123" spans="1:11" x14ac:dyDescent="0.2">
      <c r="A123" s="19"/>
      <c r="B123" s="19"/>
      <c r="C123" s="19"/>
      <c r="D123" s="19"/>
      <c r="E123" s="19"/>
      <c r="F123" s="19"/>
      <c r="G123" s="19"/>
      <c r="H123" s="19"/>
      <c r="I123" s="19"/>
      <c r="J123" s="19"/>
      <c r="K123" s="19"/>
    </row>
    <row r="124" spans="1:11" x14ac:dyDescent="0.2">
      <c r="A124" s="19"/>
      <c r="B124" s="19"/>
      <c r="C124" s="19"/>
      <c r="D124" s="19"/>
      <c r="E124" s="19"/>
      <c r="F124" s="19"/>
      <c r="G124" s="19"/>
      <c r="H124" s="19"/>
      <c r="I124" s="19"/>
      <c r="J124" s="19"/>
      <c r="K124" s="19"/>
    </row>
    <row r="125" spans="1:11" x14ac:dyDescent="0.2">
      <c r="A125" s="19"/>
      <c r="B125" s="19"/>
      <c r="C125" s="19"/>
      <c r="D125" s="19"/>
      <c r="E125" s="19"/>
      <c r="F125" s="19"/>
      <c r="G125" s="19"/>
      <c r="H125" s="19"/>
      <c r="I125" s="19"/>
      <c r="J125" s="19"/>
      <c r="K125" s="19"/>
    </row>
    <row r="126" spans="1:11" x14ac:dyDescent="0.2">
      <c r="A126" s="19"/>
      <c r="B126" s="19"/>
      <c r="C126" s="19"/>
      <c r="D126" s="19"/>
      <c r="E126" s="19"/>
      <c r="F126" s="19"/>
      <c r="G126" s="19"/>
      <c r="H126" s="19"/>
      <c r="I126" s="19"/>
      <c r="J126" s="19"/>
      <c r="K126" s="19"/>
    </row>
    <row r="127" spans="1:11" x14ac:dyDescent="0.2">
      <c r="A127" s="19"/>
      <c r="B127" s="19"/>
      <c r="C127" s="19"/>
      <c r="D127" s="19"/>
      <c r="E127" s="19"/>
      <c r="F127" s="19"/>
      <c r="G127" s="19"/>
      <c r="H127" s="19"/>
      <c r="I127" s="19"/>
      <c r="J127" s="19"/>
      <c r="K127" s="19"/>
    </row>
    <row r="128" spans="1:11" x14ac:dyDescent="0.2">
      <c r="A128" s="19"/>
      <c r="B128" s="19"/>
      <c r="C128" s="19"/>
      <c r="D128" s="19"/>
      <c r="E128" s="19"/>
      <c r="F128" s="19"/>
      <c r="G128" s="19"/>
      <c r="H128" s="19"/>
      <c r="I128" s="19"/>
      <c r="J128" s="19"/>
      <c r="K128" s="19"/>
    </row>
    <row r="129" spans="1:11" x14ac:dyDescent="0.2">
      <c r="A129" s="19"/>
      <c r="B129" s="19"/>
      <c r="C129" s="19"/>
      <c r="D129" s="19"/>
      <c r="E129" s="19"/>
      <c r="F129" s="19"/>
      <c r="G129" s="19"/>
      <c r="H129" s="19"/>
      <c r="I129" s="19"/>
      <c r="J129" s="19"/>
      <c r="K129" s="19"/>
    </row>
    <row r="130" spans="1:11" x14ac:dyDescent="0.2">
      <c r="A130" s="19"/>
      <c r="B130" s="19"/>
      <c r="C130" s="19"/>
      <c r="D130" s="19"/>
      <c r="E130" s="19"/>
      <c r="F130" s="19"/>
      <c r="G130" s="19"/>
      <c r="H130" s="19"/>
      <c r="I130" s="19"/>
      <c r="J130" s="19"/>
      <c r="K130" s="19"/>
    </row>
    <row r="131" spans="1:11" x14ac:dyDescent="0.2">
      <c r="A131" s="19"/>
      <c r="B131" s="19"/>
      <c r="C131" s="19"/>
      <c r="D131" s="19"/>
      <c r="E131" s="19"/>
      <c r="F131" s="19"/>
      <c r="G131" s="19"/>
      <c r="H131" s="19"/>
      <c r="I131" s="19"/>
      <c r="J131" s="19"/>
      <c r="K131" s="19"/>
    </row>
    <row r="132" spans="1:11" x14ac:dyDescent="0.2">
      <c r="A132" s="19"/>
      <c r="B132" s="19"/>
      <c r="C132" s="19"/>
      <c r="D132" s="19"/>
      <c r="E132" s="19"/>
      <c r="F132" s="19"/>
      <c r="G132" s="19"/>
      <c r="H132" s="19"/>
      <c r="I132" s="19"/>
      <c r="J132" s="19"/>
      <c r="K132" s="19"/>
    </row>
    <row r="133" spans="1:11" x14ac:dyDescent="0.2">
      <c r="A133" s="19"/>
      <c r="B133" s="19"/>
      <c r="C133" s="19"/>
      <c r="D133" s="19"/>
      <c r="E133" s="19"/>
      <c r="F133" s="19"/>
      <c r="G133" s="19"/>
      <c r="H133" s="19"/>
      <c r="I133" s="19"/>
      <c r="J133" s="19"/>
      <c r="K133" s="19"/>
    </row>
    <row r="134" spans="1:11" x14ac:dyDescent="0.2">
      <c r="A134" s="19"/>
      <c r="B134" s="19"/>
      <c r="C134" s="19"/>
      <c r="D134" s="19"/>
      <c r="E134" s="19"/>
      <c r="F134" s="19"/>
      <c r="G134" s="19"/>
      <c r="H134" s="19"/>
      <c r="I134" s="19"/>
      <c r="J134" s="19"/>
      <c r="K134" s="19"/>
    </row>
    <row r="135" spans="1:11" x14ac:dyDescent="0.2">
      <c r="A135" s="19"/>
      <c r="B135" s="19"/>
      <c r="C135" s="19"/>
      <c r="D135" s="19"/>
      <c r="E135" s="19"/>
      <c r="F135" s="19"/>
      <c r="G135" s="19"/>
      <c r="H135" s="19"/>
      <c r="I135" s="19"/>
      <c r="J135" s="19"/>
      <c r="K135" s="19"/>
    </row>
    <row r="136" spans="1:11" x14ac:dyDescent="0.2">
      <c r="A136" s="19"/>
      <c r="B136" s="19"/>
      <c r="C136" s="19"/>
      <c r="D136" s="19"/>
      <c r="E136" s="19"/>
      <c r="F136" s="19"/>
      <c r="G136" s="19"/>
      <c r="H136" s="19"/>
      <c r="I136" s="19"/>
      <c r="J136" s="19"/>
      <c r="K136" s="19"/>
    </row>
    <row r="137" spans="1:11" x14ac:dyDescent="0.2">
      <c r="A137" s="19"/>
      <c r="B137" s="19"/>
      <c r="C137" s="19"/>
      <c r="D137" s="19"/>
      <c r="E137" s="19"/>
      <c r="F137" s="19"/>
      <c r="G137" s="19"/>
      <c r="H137" s="19"/>
      <c r="I137" s="19"/>
      <c r="J137" s="19"/>
      <c r="K137" s="19"/>
    </row>
    <row r="138" spans="1:11" x14ac:dyDescent="0.2">
      <c r="A138" s="19"/>
      <c r="B138" s="19"/>
      <c r="C138" s="19"/>
      <c r="D138" s="19"/>
      <c r="E138" s="19"/>
      <c r="F138" s="19"/>
      <c r="G138" s="19"/>
      <c r="H138" s="19"/>
      <c r="I138" s="19"/>
      <c r="J138" s="19"/>
      <c r="K138" s="19"/>
    </row>
    <row r="139" spans="1:11" x14ac:dyDescent="0.2">
      <c r="A139" s="19"/>
      <c r="B139" s="19"/>
      <c r="C139" s="19"/>
      <c r="D139" s="19"/>
      <c r="E139" s="19"/>
      <c r="F139" s="19"/>
      <c r="G139" s="19"/>
      <c r="H139" s="19"/>
      <c r="I139" s="19"/>
      <c r="J139" s="19"/>
      <c r="K139" s="19"/>
    </row>
    <row r="140" spans="1:11" x14ac:dyDescent="0.2">
      <c r="A140" s="19"/>
      <c r="B140" s="19"/>
      <c r="C140" s="19"/>
      <c r="D140" s="19"/>
      <c r="E140" s="19"/>
      <c r="F140" s="19"/>
      <c r="G140" s="19"/>
      <c r="H140" s="19"/>
      <c r="I140" s="19"/>
      <c r="J140" s="19"/>
      <c r="K140" s="19"/>
    </row>
    <row r="141" spans="1:11" x14ac:dyDescent="0.2">
      <c r="A141" s="19"/>
      <c r="B141" s="19"/>
      <c r="C141" s="19"/>
      <c r="D141" s="19"/>
      <c r="E141" s="19"/>
      <c r="F141" s="19"/>
      <c r="G141" s="19"/>
      <c r="H141" s="19"/>
      <c r="I141" s="19"/>
      <c r="J141" s="19"/>
      <c r="K141" s="19"/>
    </row>
    <row r="142" spans="1:11" x14ac:dyDescent="0.2">
      <c r="A142" s="19"/>
      <c r="B142" s="19"/>
      <c r="C142" s="19"/>
      <c r="D142" s="19"/>
      <c r="E142" s="19"/>
      <c r="F142" s="19"/>
      <c r="G142" s="19"/>
      <c r="H142" s="19"/>
      <c r="I142" s="19"/>
      <c r="J142" s="19"/>
      <c r="K142" s="19"/>
    </row>
    <row r="143" spans="1:11" x14ac:dyDescent="0.2">
      <c r="A143" s="19"/>
      <c r="B143" s="19"/>
      <c r="C143" s="19"/>
      <c r="D143" s="19"/>
      <c r="E143" s="19"/>
      <c r="F143" s="19"/>
      <c r="G143" s="19"/>
      <c r="H143" s="19"/>
      <c r="I143" s="19"/>
      <c r="J143" s="19"/>
      <c r="K143" s="19"/>
    </row>
    <row r="144" spans="1:11" x14ac:dyDescent="0.2">
      <c r="A144" s="19"/>
      <c r="B144" s="19"/>
      <c r="C144" s="19"/>
      <c r="D144" s="19"/>
      <c r="E144" s="19"/>
      <c r="F144" s="19"/>
      <c r="G144" s="19"/>
      <c r="H144" s="19"/>
      <c r="I144" s="19"/>
      <c r="J144" s="19"/>
      <c r="K144" s="19"/>
    </row>
    <row r="613" spans="4:4" x14ac:dyDescent="0.2">
      <c r="D613" t="b">
        <v>1</v>
      </c>
    </row>
  </sheetData>
  <mergeCells count="86">
    <mergeCell ref="A62:C62"/>
    <mergeCell ref="A63:C63"/>
    <mergeCell ref="I63:J63"/>
    <mergeCell ref="I62:J62"/>
    <mergeCell ref="I61:J61"/>
    <mergeCell ref="A61:C61"/>
    <mergeCell ref="I60:J60"/>
    <mergeCell ref="A51:C51"/>
    <mergeCell ref="B53:J53"/>
    <mergeCell ref="H54:J54"/>
    <mergeCell ref="H55:J55"/>
    <mergeCell ref="H57:J57"/>
    <mergeCell ref="H56:J56"/>
    <mergeCell ref="A56:G56"/>
    <mergeCell ref="A57:G57"/>
    <mergeCell ref="A55:G55"/>
    <mergeCell ref="F60:H60"/>
    <mergeCell ref="A60:C60"/>
    <mergeCell ref="G30:J30"/>
    <mergeCell ref="A42:G42"/>
    <mergeCell ref="B8:J8"/>
    <mergeCell ref="B28:J28"/>
    <mergeCell ref="H43:I43"/>
    <mergeCell ref="H42:I42"/>
    <mergeCell ref="A29:F29"/>
    <mergeCell ref="A30:F30"/>
    <mergeCell ref="G37:J37"/>
    <mergeCell ref="G38:J38"/>
    <mergeCell ref="A39:J39"/>
    <mergeCell ref="A41:G41"/>
    <mergeCell ref="A32:E32"/>
    <mergeCell ref="F31:J31"/>
    <mergeCell ref="F32:J32"/>
    <mergeCell ref="A33:D33"/>
    <mergeCell ref="A34:D34"/>
    <mergeCell ref="E33:G33"/>
    <mergeCell ref="E34:G34"/>
    <mergeCell ref="A35:J35"/>
    <mergeCell ref="A17:E17"/>
    <mergeCell ref="A18:E18"/>
    <mergeCell ref="A25:E25"/>
    <mergeCell ref="A26:E26"/>
    <mergeCell ref="A31:E31"/>
    <mergeCell ref="H33:J33"/>
    <mergeCell ref="H34:J34"/>
    <mergeCell ref="F25:G25"/>
    <mergeCell ref="F26:G26"/>
    <mergeCell ref="H25:J25"/>
    <mergeCell ref="H26:J26"/>
    <mergeCell ref="A19:J19"/>
    <mergeCell ref="A20:J20"/>
    <mergeCell ref="I21:J21"/>
    <mergeCell ref="G21:H21"/>
    <mergeCell ref="I22:J22"/>
    <mergeCell ref="G22:H22"/>
    <mergeCell ref="A21:F21"/>
    <mergeCell ref="A22:F22"/>
    <mergeCell ref="F17:G17"/>
    <mergeCell ref="F18:G18"/>
    <mergeCell ref="H17:J17"/>
    <mergeCell ref="H18:J18"/>
    <mergeCell ref="A9:F9"/>
    <mergeCell ref="A10:F10"/>
    <mergeCell ref="A11:F11"/>
    <mergeCell ref="A12:F12"/>
    <mergeCell ref="A13:J13"/>
    <mergeCell ref="G11:J11"/>
    <mergeCell ref="G12:J12"/>
    <mergeCell ref="G9:J9"/>
    <mergeCell ref="G10:J10"/>
    <mergeCell ref="C1:I1"/>
    <mergeCell ref="C5:I5"/>
    <mergeCell ref="C2:J2"/>
    <mergeCell ref="C4:K4"/>
    <mergeCell ref="B65:J65"/>
    <mergeCell ref="A49:C49"/>
    <mergeCell ref="A50:C50"/>
    <mergeCell ref="A43:G43"/>
    <mergeCell ref="A44:G44"/>
    <mergeCell ref="A37:F37"/>
    <mergeCell ref="A38:F38"/>
    <mergeCell ref="A23:J23"/>
    <mergeCell ref="A24:J24"/>
    <mergeCell ref="A14:J14"/>
    <mergeCell ref="A15:J15"/>
    <mergeCell ref="A16:J16"/>
  </mergeCells>
  <dataValidations count="1">
    <dataValidation type="textLength" operator="lessThanOrEqual" showInputMessage="1" showErrorMessage="1" errorTitle="Invalid NDIC Permit Number" error="Please enter a single NDIC permit number up to 5 characters." sqref="A30" xr:uid="{C6006CB8-097F-4647-974F-22FD559A4F14}">
      <formula1>5</formula1>
    </dataValidation>
  </dataValidations>
  <hyperlinks>
    <hyperlink ref="E46" r:id="rId1" xr:uid="{615ED654-FBB6-49C0-B0B0-0E2539A4F4B2}"/>
    <hyperlink ref="A46" r:id="rId2" xr:uid="{2942CC9A-F53B-4265-8092-76D96930F38B}"/>
    <hyperlink ref="C46" r:id="rId3" display="SFN 61008" xr:uid="{2DE0F27A-C5E8-4FC2-AE94-1A4B1F1DA4D0}"/>
  </hyperlinks>
  <pageMargins left="0.7" right="0.7" top="0.75" bottom="0.75" header="0.3" footer="0.3"/>
  <pageSetup orientation="portrait" r:id="rId4"/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74" r:id="rId7" name="Check Box 14">
              <controlPr defaultSize="0" autoFill="0" autoLine="0" autoPict="0">
                <anchor moveWithCells="1">
                  <from>
                    <xdr:col>3</xdr:col>
                    <xdr:colOff>9525</xdr:colOff>
                    <xdr:row>47</xdr:row>
                    <xdr:rowOff>161925</xdr:rowOff>
                  </from>
                  <to>
                    <xdr:col>3</xdr:col>
                    <xdr:colOff>209550</xdr:colOff>
                    <xdr:row>49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r:id="rId8" name="Check Box 15">
              <controlPr defaultSize="0" autoFill="0" autoLine="0" autoPict="0">
                <anchor moveWithCells="1">
                  <from>
                    <xdr:col>3</xdr:col>
                    <xdr:colOff>9525</xdr:colOff>
                    <xdr:row>48</xdr:row>
                    <xdr:rowOff>142875</xdr:rowOff>
                  </from>
                  <to>
                    <xdr:col>3</xdr:col>
                    <xdr:colOff>209550</xdr:colOff>
                    <xdr:row>50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r:id="rId9" name="Check Box 16">
              <controlPr defaultSize="0" autoFill="0" autoLine="0" autoPict="0">
                <anchor moveWithCells="1">
                  <from>
                    <xdr:col>3</xdr:col>
                    <xdr:colOff>9525</xdr:colOff>
                    <xdr:row>49</xdr:row>
                    <xdr:rowOff>133350</xdr:rowOff>
                  </from>
                  <to>
                    <xdr:col>3</xdr:col>
                    <xdr:colOff>209550</xdr:colOff>
                    <xdr:row>51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r:id="rId10" name="Check Box 17">
              <controlPr defaultSize="0" autoFill="0" autoLine="0" autoPict="0">
                <anchor moveWithCells="1">
                  <from>
                    <xdr:col>2</xdr:col>
                    <xdr:colOff>609600</xdr:colOff>
                    <xdr:row>59</xdr:row>
                    <xdr:rowOff>0</xdr:rowOff>
                  </from>
                  <to>
                    <xdr:col>3</xdr:col>
                    <xdr:colOff>209550</xdr:colOff>
                    <xdr:row>60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r:id="rId11" name="Check Box 18">
              <controlPr defaultSize="0" autoFill="0" autoLine="0" autoPict="0">
                <anchor moveWithCells="1">
                  <from>
                    <xdr:col>2</xdr:col>
                    <xdr:colOff>609600</xdr:colOff>
                    <xdr:row>59</xdr:row>
                    <xdr:rowOff>152400</xdr:rowOff>
                  </from>
                  <to>
                    <xdr:col>4</xdr:col>
                    <xdr:colOff>19050</xdr:colOff>
                    <xdr:row>61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r:id="rId12" name="Check Box 19">
              <controlPr defaultSize="0" autoFill="0" autoLine="0" autoPict="0">
                <anchor moveWithCells="1">
                  <from>
                    <xdr:col>2</xdr:col>
                    <xdr:colOff>609600</xdr:colOff>
                    <xdr:row>60</xdr:row>
                    <xdr:rowOff>152400</xdr:rowOff>
                  </from>
                  <to>
                    <xdr:col>4</xdr:col>
                    <xdr:colOff>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r:id="rId13" name="Check Box 20">
              <controlPr defaultSize="0" autoFill="0" autoLine="0" autoPict="0">
                <anchor moveWithCells="1">
                  <from>
                    <xdr:col>2</xdr:col>
                    <xdr:colOff>609600</xdr:colOff>
                    <xdr:row>60</xdr:row>
                    <xdr:rowOff>152400</xdr:rowOff>
                  </from>
                  <to>
                    <xdr:col>4</xdr:col>
                    <xdr:colOff>0</xdr:colOff>
                    <xdr:row>62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r:id="rId14" name="Check Box 21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133350</xdr:rowOff>
                  </from>
                  <to>
                    <xdr:col>4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r:id="rId15" name="Check Box 22">
              <controlPr defaultSize="0" autoFill="0" autoLine="0" autoPict="0">
                <anchor moveWithCells="1">
                  <from>
                    <xdr:col>3</xdr:col>
                    <xdr:colOff>0</xdr:colOff>
                    <xdr:row>61</xdr:row>
                    <xdr:rowOff>133350</xdr:rowOff>
                  </from>
                  <to>
                    <xdr:col>4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showInputMessage="1" showErrorMessage="1" xr:uid="{84099AD6-C491-47EE-A9B2-63816524F99D}">
          <x14:formula1>
            <xm:f>'Drop Down Lists'!$D$1:$D$2</xm:f>
          </x14:formula1>
          <xm:sqref>A10</xm:sqref>
        </x14:dataValidation>
        <x14:dataValidation type="list" showInputMessage="1" showErrorMessage="1" xr:uid="{AF060578-FADA-4B79-AC17-78DC6CE6B3B7}">
          <x14:formula1>
            <xm:f>'Drop Down Lists'!$E$1:$E$2</xm:f>
          </x14:formula1>
          <xm:sqref>G10</xm:sqref>
        </x14:dataValidation>
        <x14:dataValidation type="list" showInputMessage="1" showErrorMessage="1" xr:uid="{B40C82F8-472A-44B0-A2C7-93F1F097BFEB}">
          <x14:formula1>
            <xm:f>'Drop Down Lists'!$F$1:$F$2</xm:f>
          </x14:formula1>
          <xm:sqref>A12</xm:sqref>
        </x14:dataValidation>
        <x14:dataValidation type="list" showInputMessage="1" showErrorMessage="1" xr:uid="{10692B62-864D-4540-A57E-3BEC395F80EB}">
          <x14:formula1>
            <xm:f>'Drop Down Lists'!$H$1:$H$608</xm:f>
          </x14:formula1>
          <xm:sqref>F32:J32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50"/>
  <sheetViews>
    <sheetView topLeftCell="A22" workbookViewId="0">
      <selection activeCell="Q36" sqref="Q36"/>
    </sheetView>
  </sheetViews>
  <sheetFormatPr defaultRowHeight="12.75" x14ac:dyDescent="0.2"/>
  <cols>
    <col min="2" max="2" width="6.7109375" customWidth="1"/>
    <col min="3" max="3" width="11" customWidth="1"/>
    <col min="4" max="4" width="2.140625" customWidth="1"/>
    <col min="5" max="5" width="14" customWidth="1"/>
    <col min="6" max="6" width="2.42578125" customWidth="1"/>
    <col min="7" max="7" width="20" customWidth="1"/>
    <col min="8" max="8" width="5" customWidth="1"/>
    <col min="9" max="9" width="15.140625" customWidth="1"/>
    <col min="10" max="10" width="2.140625" customWidth="1"/>
    <col min="11" max="11" width="13.85546875" customWidth="1"/>
    <col min="12" max="12" width="2.7109375" customWidth="1"/>
    <col min="13" max="13" width="13.5703125" customWidth="1"/>
    <col min="14" max="14" width="7.28515625" customWidth="1"/>
    <col min="15" max="15" width="8.28515625" customWidth="1"/>
    <col min="16" max="16" width="10.7109375" style="1" bestFit="1" customWidth="1"/>
    <col min="17" max="17" width="9.140625" style="1"/>
  </cols>
  <sheetData>
    <row r="1" spans="1:18" ht="14.25" thickTop="1" thickBot="1" x14ac:dyDescent="0.25">
      <c r="A1" s="565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505"/>
    </row>
    <row r="2" spans="1:18" ht="32.25" thickTop="1" thickBot="1" x14ac:dyDescent="0.6">
      <c r="A2" s="566"/>
      <c r="B2" s="753" t="str">
        <f>Input!B7</f>
        <v>55555, 55556, 55557</v>
      </c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5"/>
      <c r="O2" s="48"/>
    </row>
    <row r="3" spans="1:18" ht="14.25" thickTop="1" thickBot="1" x14ac:dyDescent="0.25">
      <c r="A3" s="566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8"/>
    </row>
    <row r="4" spans="1:18" ht="32.25" thickTop="1" thickBot="1" x14ac:dyDescent="0.6">
      <c r="A4" s="567"/>
      <c r="B4" s="753" t="s">
        <v>90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5"/>
      <c r="O4" s="48"/>
    </row>
    <row r="5" spans="1:18" ht="14.25" thickTop="1" thickBot="1" x14ac:dyDescent="0.25">
      <c r="A5" s="56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09"/>
    </row>
    <row r="6" spans="1:18" ht="18" thickTop="1" x14ac:dyDescent="0.3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  <c r="O6" s="189"/>
      <c r="P6" s="171"/>
    </row>
    <row r="7" spans="1:18" ht="17.25" x14ac:dyDescent="0.3">
      <c r="A7" s="729" t="s">
        <v>365</v>
      </c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  <c r="O7" s="200"/>
      <c r="P7" s="171"/>
    </row>
    <row r="8" spans="1:18" ht="17.25" x14ac:dyDescent="0.3">
      <c r="A8" s="729" t="s">
        <v>357</v>
      </c>
      <c r="B8" s="729"/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  <c r="N8" s="729"/>
      <c r="O8" s="200"/>
      <c r="P8" s="171"/>
    </row>
    <row r="9" spans="1:18" ht="18" thickBot="1" x14ac:dyDescent="0.35">
      <c r="A9" s="339"/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  <c r="O9" s="200"/>
      <c r="P9" s="171"/>
    </row>
    <row r="10" spans="1:18" ht="18" thickTop="1" x14ac:dyDescent="0.3">
      <c r="A10" s="389" t="s">
        <v>27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390"/>
      <c r="P10" s="171"/>
    </row>
    <row r="11" spans="1:18" ht="17.25" x14ac:dyDescent="0.3">
      <c r="A11" s="325"/>
      <c r="B11" s="177" t="s">
        <v>83</v>
      </c>
      <c r="C11" s="177"/>
      <c r="D11" s="177"/>
      <c r="E11" s="177"/>
      <c r="F11" s="177"/>
      <c r="G11" s="177"/>
      <c r="H11" s="177"/>
      <c r="I11" s="177"/>
      <c r="J11" s="177"/>
      <c r="K11" s="196"/>
      <c r="L11" s="177"/>
      <c r="M11" s="177"/>
      <c r="N11" s="177"/>
      <c r="O11" s="281"/>
      <c r="P11" s="171"/>
      <c r="Q11" s="26"/>
    </row>
    <row r="12" spans="1:18" ht="17.25" x14ac:dyDescent="0.3">
      <c r="A12" s="325"/>
      <c r="B12" s="177" t="s">
        <v>179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177"/>
      <c r="O12" s="281"/>
      <c r="P12" s="171"/>
      <c r="R12" s="23"/>
    </row>
    <row r="13" spans="1:18" ht="17.25" x14ac:dyDescent="0.3">
      <c r="A13" s="325"/>
      <c r="B13" s="177"/>
      <c r="C13" s="177"/>
      <c r="D13" s="177"/>
      <c r="E13" s="177"/>
      <c r="F13" s="177"/>
      <c r="G13" s="177"/>
      <c r="H13" s="177"/>
      <c r="I13" s="196" t="s">
        <v>358</v>
      </c>
      <c r="J13" s="177"/>
      <c r="K13" s="196" t="s">
        <v>48</v>
      </c>
      <c r="L13" s="177"/>
      <c r="M13" s="196" t="s">
        <v>51</v>
      </c>
      <c r="N13" s="181"/>
      <c r="O13" s="282"/>
      <c r="P13" s="596"/>
    </row>
    <row r="14" spans="1:18" ht="18" thickBot="1" x14ac:dyDescent="0.35">
      <c r="A14" s="325"/>
      <c r="B14" s="177"/>
      <c r="C14" s="177"/>
      <c r="D14" s="177"/>
      <c r="E14" s="177"/>
      <c r="F14" s="177"/>
      <c r="G14" s="177"/>
      <c r="H14" s="177"/>
      <c r="I14" s="196" t="s">
        <v>359</v>
      </c>
      <c r="J14" s="177"/>
      <c r="K14" s="196" t="s">
        <v>362</v>
      </c>
      <c r="L14" s="177"/>
      <c r="M14" s="286" t="s">
        <v>360</v>
      </c>
      <c r="N14" s="181"/>
      <c r="O14" s="282"/>
      <c r="P14" s="171"/>
    </row>
    <row r="15" spans="1:18" ht="18" thickBot="1" x14ac:dyDescent="0.35">
      <c r="A15" s="325"/>
      <c r="B15" s="569">
        <f>Input!C58</f>
        <v>0.5</v>
      </c>
      <c r="C15" s="276" t="s">
        <v>158</v>
      </c>
      <c r="D15" s="177" t="s">
        <v>2</v>
      </c>
      <c r="E15" s="242" t="s">
        <v>159</v>
      </c>
      <c r="F15" s="177" t="s">
        <v>2</v>
      </c>
      <c r="G15" s="242" t="s">
        <v>337</v>
      </c>
      <c r="H15" s="196" t="s">
        <v>2</v>
      </c>
      <c r="I15" s="570">
        <f>Input!C34</f>
        <v>44.35</v>
      </c>
      <c r="J15" s="177" t="s">
        <v>2</v>
      </c>
      <c r="K15" s="571">
        <f>Input!C35</f>
        <v>0.74219999999999997</v>
      </c>
      <c r="L15" s="177" t="s">
        <v>0</v>
      </c>
      <c r="M15" s="453">
        <f>ROUND(B15*60/1*1/379*I15*K15, 2)</f>
        <v>2.61</v>
      </c>
      <c r="N15" s="177"/>
      <c r="O15" s="281"/>
      <c r="P15" s="171"/>
    </row>
    <row r="16" spans="1:18" ht="17.25" x14ac:dyDescent="0.3">
      <c r="A16" s="325"/>
      <c r="B16" s="431"/>
      <c r="C16" s="487"/>
      <c r="D16" s="177"/>
      <c r="E16" s="177"/>
      <c r="F16" s="177"/>
      <c r="G16" s="177"/>
      <c r="H16" s="196"/>
      <c r="I16" s="431"/>
      <c r="J16" s="177"/>
      <c r="K16" s="431"/>
      <c r="L16" s="177"/>
      <c r="M16" s="572"/>
      <c r="N16" s="177"/>
      <c r="O16" s="281"/>
      <c r="P16" s="171"/>
      <c r="R16" s="23"/>
    </row>
    <row r="17" spans="1:18" ht="17.25" x14ac:dyDescent="0.3">
      <c r="A17" s="325"/>
      <c r="B17" s="177"/>
      <c r="C17" s="177"/>
      <c r="D17" s="177"/>
      <c r="E17" s="177"/>
      <c r="F17" s="177"/>
      <c r="G17" s="177"/>
      <c r="H17" s="196"/>
      <c r="I17" s="196" t="s">
        <v>32</v>
      </c>
      <c r="J17" s="177"/>
      <c r="K17" s="177"/>
      <c r="L17" s="177"/>
      <c r="M17" s="257" t="s">
        <v>51</v>
      </c>
      <c r="N17" s="177"/>
      <c r="O17" s="281"/>
      <c r="P17" s="171"/>
    </row>
    <row r="18" spans="1:18" ht="18" thickBot="1" x14ac:dyDescent="0.35">
      <c r="A18" s="325"/>
      <c r="B18" s="177"/>
      <c r="C18" s="177"/>
      <c r="D18" s="177"/>
      <c r="E18" s="196"/>
      <c r="F18" s="177"/>
      <c r="G18" s="196" t="s">
        <v>28</v>
      </c>
      <c r="H18" s="196"/>
      <c r="I18" s="196" t="s">
        <v>60</v>
      </c>
      <c r="J18" s="177"/>
      <c r="K18" s="196"/>
      <c r="L18" s="177"/>
      <c r="M18" s="257" t="s">
        <v>165</v>
      </c>
      <c r="N18" s="177"/>
      <c r="O18" s="281"/>
      <c r="P18" s="162"/>
      <c r="Q18" s="26"/>
    </row>
    <row r="19" spans="1:18" ht="18" thickBot="1" x14ac:dyDescent="0.35">
      <c r="A19" s="325"/>
      <c r="B19" s="232"/>
      <c r="C19" s="177"/>
      <c r="D19" s="177"/>
      <c r="E19" s="431"/>
      <c r="F19" s="177"/>
      <c r="G19" s="570">
        <f>M15</f>
        <v>2.61</v>
      </c>
      <c r="H19" s="196" t="s">
        <v>2</v>
      </c>
      <c r="I19" s="573">
        <f>Input!C57</f>
        <v>4380</v>
      </c>
      <c r="J19" s="177" t="s">
        <v>2</v>
      </c>
      <c r="K19" s="278" t="s">
        <v>29</v>
      </c>
      <c r="L19" s="177" t="s">
        <v>0</v>
      </c>
      <c r="M19" s="453">
        <f>(G19*I19/2000)*N33</f>
        <v>0</v>
      </c>
      <c r="N19" s="177"/>
      <c r="O19" s="281"/>
      <c r="P19" s="171"/>
      <c r="Q19" s="26"/>
    </row>
    <row r="20" spans="1:18" ht="17.25" x14ac:dyDescent="0.3">
      <c r="A20" s="325"/>
      <c r="B20" s="232"/>
      <c r="C20" s="177"/>
      <c r="D20" s="177"/>
      <c r="E20" s="431"/>
      <c r="F20" s="177"/>
      <c r="G20" s="291"/>
      <c r="H20" s="196"/>
      <c r="I20" s="285"/>
      <c r="J20" s="177"/>
      <c r="K20" s="196"/>
      <c r="L20" s="177"/>
      <c r="M20" s="291"/>
      <c r="N20" s="177"/>
      <c r="O20" s="281"/>
      <c r="P20" s="171"/>
      <c r="Q20" s="26"/>
    </row>
    <row r="21" spans="1:18" ht="17.25" x14ac:dyDescent="0.3">
      <c r="A21" s="325"/>
      <c r="B21" s="232"/>
      <c r="C21" s="177"/>
      <c r="D21" s="177"/>
      <c r="E21" s="431"/>
      <c r="F21" s="177"/>
      <c r="G21" s="232"/>
      <c r="H21" s="196"/>
      <c r="I21" s="196" t="s">
        <v>358</v>
      </c>
      <c r="J21" s="177"/>
      <c r="K21" s="196" t="s">
        <v>61</v>
      </c>
      <c r="L21" s="177"/>
      <c r="M21" s="574" t="s">
        <v>51</v>
      </c>
      <c r="N21" s="177"/>
      <c r="O21" s="281"/>
      <c r="P21" s="171"/>
    </row>
    <row r="22" spans="1:18" ht="18" thickBot="1" x14ac:dyDescent="0.35">
      <c r="A22" s="325"/>
      <c r="B22" s="177"/>
      <c r="C22" s="177"/>
      <c r="D22" s="177"/>
      <c r="E22" s="177"/>
      <c r="F22" s="177"/>
      <c r="G22" s="177"/>
      <c r="H22" s="196"/>
      <c r="I22" s="196" t="s">
        <v>359</v>
      </c>
      <c r="J22" s="177"/>
      <c r="K22" s="196" t="s">
        <v>362</v>
      </c>
      <c r="L22" s="177"/>
      <c r="M22" s="574" t="s">
        <v>361</v>
      </c>
      <c r="N22" s="177"/>
      <c r="O22" s="281"/>
      <c r="P22" s="171"/>
    </row>
    <row r="23" spans="1:18" ht="18" thickBot="1" x14ac:dyDescent="0.35">
      <c r="A23" s="325"/>
      <c r="B23" s="569">
        <f>B15</f>
        <v>0.5</v>
      </c>
      <c r="C23" s="204" t="s">
        <v>158</v>
      </c>
      <c r="D23" s="177" t="s">
        <v>2</v>
      </c>
      <c r="E23" s="242" t="s">
        <v>159</v>
      </c>
      <c r="F23" s="177" t="s">
        <v>2</v>
      </c>
      <c r="G23" s="242" t="s">
        <v>337</v>
      </c>
      <c r="H23" s="196" t="s">
        <v>2</v>
      </c>
      <c r="I23" s="570">
        <f>I15</f>
        <v>44.35</v>
      </c>
      <c r="J23" s="177" t="s">
        <v>2</v>
      </c>
      <c r="K23" s="571">
        <f>Input!C36</f>
        <v>0.13930000000000001</v>
      </c>
      <c r="L23" s="177" t="s">
        <v>0</v>
      </c>
      <c r="M23" s="453">
        <f>ROUND(B23*60/1*1/379*I23*K23, 2)</f>
        <v>0.49</v>
      </c>
      <c r="N23" s="177"/>
      <c r="O23" s="281"/>
      <c r="P23" s="171"/>
    </row>
    <row r="24" spans="1:18" ht="17.25" x14ac:dyDescent="0.3">
      <c r="A24" s="325"/>
      <c r="B24" s="431"/>
      <c r="C24" s="487"/>
      <c r="D24" s="177"/>
      <c r="E24" s="177"/>
      <c r="F24" s="177"/>
      <c r="G24" s="177"/>
      <c r="H24" s="196"/>
      <c r="I24" s="431"/>
      <c r="J24" s="177"/>
      <c r="K24" s="431"/>
      <c r="L24" s="177"/>
      <c r="M24" s="572"/>
      <c r="N24" s="177"/>
      <c r="O24" s="281"/>
      <c r="P24" s="171"/>
    </row>
    <row r="25" spans="1:18" ht="17.25" x14ac:dyDescent="0.3">
      <c r="A25" s="325"/>
      <c r="B25" s="177"/>
      <c r="C25" s="177"/>
      <c r="D25" s="177"/>
      <c r="E25" s="177"/>
      <c r="F25" s="177"/>
      <c r="G25" s="177"/>
      <c r="H25" s="196"/>
      <c r="I25" s="196" t="s">
        <v>32</v>
      </c>
      <c r="J25" s="177"/>
      <c r="K25" s="177"/>
      <c r="L25" s="177"/>
      <c r="M25" s="257" t="s">
        <v>51</v>
      </c>
      <c r="N25" s="177"/>
      <c r="O25" s="281"/>
      <c r="P25" s="171"/>
    </row>
    <row r="26" spans="1:18" ht="18" thickBot="1" x14ac:dyDescent="0.35">
      <c r="A26" s="325"/>
      <c r="B26" s="177"/>
      <c r="C26" s="177"/>
      <c r="D26" s="177"/>
      <c r="E26" s="196"/>
      <c r="F26" s="177"/>
      <c r="G26" s="196" t="s">
        <v>28</v>
      </c>
      <c r="H26" s="196"/>
      <c r="I26" s="196" t="s">
        <v>60</v>
      </c>
      <c r="J26" s="177"/>
      <c r="K26" s="196"/>
      <c r="L26" s="177"/>
      <c r="M26" s="257" t="s">
        <v>166</v>
      </c>
      <c r="N26" s="177"/>
      <c r="O26" s="281"/>
      <c r="P26" s="171"/>
    </row>
    <row r="27" spans="1:18" ht="18" thickBot="1" x14ac:dyDescent="0.35">
      <c r="A27" s="325"/>
      <c r="B27" s="232"/>
      <c r="C27" s="177"/>
      <c r="D27" s="177"/>
      <c r="E27" s="431"/>
      <c r="F27" s="177"/>
      <c r="G27" s="570">
        <f>M23</f>
        <v>0.49</v>
      </c>
      <c r="H27" s="196" t="s">
        <v>2</v>
      </c>
      <c r="I27" s="573">
        <f>I19</f>
        <v>4380</v>
      </c>
      <c r="J27" s="177" t="s">
        <v>2</v>
      </c>
      <c r="K27" s="278" t="s">
        <v>29</v>
      </c>
      <c r="L27" s="177" t="s">
        <v>0</v>
      </c>
      <c r="M27" s="453">
        <f>(G27*I27/2000)*N33</f>
        <v>0</v>
      </c>
      <c r="N27" s="177"/>
      <c r="O27" s="281"/>
      <c r="P27" s="162"/>
      <c r="R27" s="23"/>
    </row>
    <row r="28" spans="1:18" ht="18" thickBot="1" x14ac:dyDescent="0.35">
      <c r="A28" s="327"/>
      <c r="B28" s="254"/>
      <c r="C28" s="254"/>
      <c r="D28" s="254"/>
      <c r="E28" s="254"/>
      <c r="F28" s="254"/>
      <c r="G28" s="254"/>
      <c r="H28" s="254"/>
      <c r="I28" s="254"/>
      <c r="J28" s="254"/>
      <c r="K28" s="254"/>
      <c r="L28" s="254"/>
      <c r="M28" s="254"/>
      <c r="N28" s="254"/>
      <c r="O28" s="388"/>
      <c r="P28" s="171"/>
    </row>
    <row r="29" spans="1:18" ht="18.75" thickTop="1" thickBot="1" x14ac:dyDescent="0.35">
      <c r="A29" s="200"/>
      <c r="B29" s="200"/>
      <c r="C29" s="200"/>
      <c r="D29" s="200"/>
      <c r="E29" s="200"/>
      <c r="F29" s="200"/>
      <c r="G29" s="200"/>
      <c r="H29" s="200"/>
      <c r="I29" s="200"/>
      <c r="J29" s="200"/>
      <c r="K29" s="200"/>
      <c r="L29" s="200"/>
      <c r="M29" s="200"/>
      <c r="N29" s="254"/>
      <c r="O29" s="200"/>
      <c r="P29" s="171"/>
    </row>
    <row r="30" spans="1:18" ht="18.75" thickTop="1" thickBot="1" x14ac:dyDescent="0.35">
      <c r="A30" s="200"/>
      <c r="B30" s="200"/>
      <c r="C30" s="200"/>
      <c r="D30" s="200"/>
      <c r="E30" s="200"/>
      <c r="F30" s="200"/>
      <c r="G30" s="200"/>
      <c r="H30" s="200"/>
      <c r="I30" s="389"/>
      <c r="J30" s="189"/>
      <c r="K30" s="189"/>
      <c r="L30" s="189"/>
      <c r="M30" s="189"/>
      <c r="N30" s="189"/>
      <c r="O30" s="390"/>
      <c r="P30" s="171"/>
    </row>
    <row r="31" spans="1:18" ht="18" thickBot="1" x14ac:dyDescent="0.35">
      <c r="A31" s="200"/>
      <c r="B31" s="200"/>
      <c r="C31" s="200"/>
      <c r="D31" s="200"/>
      <c r="E31" s="200"/>
      <c r="F31" s="200"/>
      <c r="G31" s="235"/>
      <c r="H31" s="200"/>
      <c r="I31" s="325"/>
      <c r="J31" s="177"/>
      <c r="K31" s="200"/>
      <c r="L31" s="200"/>
      <c r="M31" s="230" t="s">
        <v>77</v>
      </c>
      <c r="N31" s="575">
        <f>Input!C60</f>
        <v>0.98</v>
      </c>
      <c r="O31" s="281"/>
      <c r="P31" s="171"/>
    </row>
    <row r="32" spans="1:18" ht="18" thickBot="1" x14ac:dyDescent="0.35">
      <c r="A32" s="200"/>
      <c r="B32" s="200"/>
      <c r="C32" s="200"/>
      <c r="D32" s="200"/>
      <c r="E32" s="200"/>
      <c r="F32" s="200"/>
      <c r="G32" s="200"/>
      <c r="H32" s="200"/>
      <c r="I32" s="180"/>
      <c r="J32" s="181"/>
      <c r="K32" s="181"/>
      <c r="L32" s="177"/>
      <c r="M32" s="576"/>
      <c r="N32" s="177"/>
      <c r="O32" s="281"/>
      <c r="P32" s="171"/>
      <c r="Q32" s="26"/>
    </row>
    <row r="33" spans="1:17" ht="18" thickBot="1" x14ac:dyDescent="0.35">
      <c r="A33" s="200"/>
      <c r="B33" s="200"/>
      <c r="C33" s="200"/>
      <c r="D33" s="200"/>
      <c r="E33" s="200"/>
      <c r="F33" s="200"/>
      <c r="G33" s="200"/>
      <c r="H33" s="200"/>
      <c r="I33" s="180"/>
      <c r="J33" s="181"/>
      <c r="K33" s="200"/>
      <c r="L33" s="177"/>
      <c r="M33" s="230" t="s">
        <v>98</v>
      </c>
      <c r="N33" s="577">
        <f>Input!C56</f>
        <v>0</v>
      </c>
      <c r="O33" s="281"/>
      <c r="P33" s="171"/>
    </row>
    <row r="34" spans="1:17" ht="18" thickBot="1" x14ac:dyDescent="0.35">
      <c r="A34" s="200"/>
      <c r="B34" s="200"/>
      <c r="C34" s="200"/>
      <c r="D34" s="200"/>
      <c r="E34" s="200"/>
      <c r="F34" s="200"/>
      <c r="G34" s="200"/>
      <c r="H34" s="200"/>
      <c r="I34" s="325"/>
      <c r="J34" s="177"/>
      <c r="K34" s="746"/>
      <c r="L34" s="746"/>
      <c r="M34" s="255"/>
      <c r="N34" s="177"/>
      <c r="O34" s="281"/>
      <c r="P34" s="171"/>
      <c r="Q34" s="26"/>
    </row>
    <row r="35" spans="1:17" ht="18" thickBot="1" x14ac:dyDescent="0.35">
      <c r="A35" s="200"/>
      <c r="B35" s="200"/>
      <c r="C35" s="200"/>
      <c r="D35" s="200"/>
      <c r="E35" s="200"/>
      <c r="F35" s="200"/>
      <c r="G35" s="200"/>
      <c r="H35" s="200"/>
      <c r="I35" s="799" t="s">
        <v>363</v>
      </c>
      <c r="J35" s="800"/>
      <c r="K35" s="800"/>
      <c r="L35" s="800"/>
      <c r="M35" s="801"/>
      <c r="N35" s="275">
        <f>M19*(100%-N31)</f>
        <v>0</v>
      </c>
      <c r="O35" s="342" t="s">
        <v>19</v>
      </c>
      <c r="P35" s="596"/>
      <c r="Q35" s="26"/>
    </row>
    <row r="36" spans="1:17" ht="18" thickBot="1" x14ac:dyDescent="0.35">
      <c r="A36" s="200"/>
      <c r="B36" s="200"/>
      <c r="C36" s="200"/>
      <c r="D36" s="200"/>
      <c r="E36" s="200"/>
      <c r="F36" s="200"/>
      <c r="G36" s="200"/>
      <c r="H36" s="200"/>
      <c r="I36" s="745"/>
      <c r="J36" s="746"/>
      <c r="K36" s="746"/>
      <c r="L36" s="746"/>
      <c r="M36" s="578"/>
      <c r="N36" s="177"/>
      <c r="O36" s="340"/>
      <c r="P36" s="171"/>
    </row>
    <row r="37" spans="1:17" ht="18" thickBot="1" x14ac:dyDescent="0.35">
      <c r="A37" s="200"/>
      <c r="B37" s="200"/>
      <c r="C37" s="200"/>
      <c r="D37" s="200"/>
      <c r="E37" s="200"/>
      <c r="F37" s="200"/>
      <c r="G37" s="200"/>
      <c r="H37" s="200"/>
      <c r="I37" s="799" t="s">
        <v>364</v>
      </c>
      <c r="J37" s="800"/>
      <c r="K37" s="800"/>
      <c r="L37" s="800"/>
      <c r="M37" s="801"/>
      <c r="N37" s="275">
        <f>M27*(100%-N31)</f>
        <v>0</v>
      </c>
      <c r="O37" s="342" t="s">
        <v>19</v>
      </c>
      <c r="P37" s="596"/>
    </row>
    <row r="38" spans="1:17" ht="18" thickBot="1" x14ac:dyDescent="0.35">
      <c r="A38" s="200"/>
      <c r="B38" s="200"/>
      <c r="C38" s="200"/>
      <c r="D38" s="200"/>
      <c r="E38" s="200"/>
      <c r="F38" s="200"/>
      <c r="G38" s="200"/>
      <c r="H38" s="200"/>
      <c r="I38" s="327"/>
      <c r="J38" s="254"/>
      <c r="K38" s="254"/>
      <c r="L38" s="254"/>
      <c r="M38" s="254"/>
      <c r="N38" s="254"/>
      <c r="O38" s="388"/>
      <c r="P38" s="171"/>
    </row>
    <row r="39" spans="1:17" s="1" customFormat="1" ht="18.75" thickTop="1" thickBot="1" x14ac:dyDescent="0.35">
      <c r="A39" s="171"/>
      <c r="B39" s="171"/>
      <c r="C39" s="171"/>
      <c r="D39" s="171"/>
      <c r="E39" s="171"/>
      <c r="F39" s="171"/>
      <c r="G39" s="171"/>
      <c r="H39" s="171"/>
      <c r="I39" s="343" t="s">
        <v>225</v>
      </c>
      <c r="J39" s="344"/>
      <c r="K39" s="344"/>
      <c r="L39" s="344"/>
      <c r="M39" s="598"/>
      <c r="N39" s="598"/>
      <c r="O39" s="344" t="s">
        <v>226</v>
      </c>
      <c r="P39" s="345"/>
    </row>
    <row r="40" spans="1:17" s="1" customFormat="1" ht="18" thickBot="1" x14ac:dyDescent="0.35">
      <c r="A40" s="171"/>
      <c r="B40" s="171"/>
      <c r="C40" s="171"/>
      <c r="D40" s="171"/>
      <c r="E40" s="171"/>
      <c r="F40" s="171"/>
      <c r="G40" s="599"/>
      <c r="H40" s="171"/>
      <c r="I40" s="341">
        <f>Input!C56</f>
        <v>0</v>
      </c>
      <c r="J40" s="346" t="s">
        <v>2</v>
      </c>
      <c r="K40" s="226">
        <f>N35</f>
        <v>0</v>
      </c>
      <c r="L40" s="346" t="s">
        <v>224</v>
      </c>
      <c r="M40" s="600"/>
      <c r="N40" s="601" t="s">
        <v>0</v>
      </c>
      <c r="O40" s="602">
        <f>(I40*K40)</f>
        <v>0</v>
      </c>
      <c r="P40" s="597" t="s">
        <v>31</v>
      </c>
    </row>
    <row r="41" spans="1:17" s="1" customFormat="1" ht="17.25" x14ac:dyDescent="0.3">
      <c r="A41" s="171"/>
      <c r="B41" s="171"/>
      <c r="C41" s="171"/>
      <c r="D41" s="171"/>
      <c r="E41" s="171"/>
      <c r="F41" s="171"/>
      <c r="G41" s="171"/>
      <c r="H41" s="171"/>
      <c r="I41" s="348"/>
      <c r="J41" s="170"/>
      <c r="K41" s="237"/>
      <c r="L41" s="237"/>
      <c r="M41" s="349"/>
      <c r="N41" s="238"/>
      <c r="O41" s="350"/>
      <c r="P41" s="237"/>
    </row>
    <row r="42" spans="1:17" s="1" customFormat="1" ht="18" thickBot="1" x14ac:dyDescent="0.35">
      <c r="A42" s="171"/>
      <c r="B42" s="171"/>
      <c r="C42" s="171"/>
      <c r="D42" s="171"/>
      <c r="E42" s="171"/>
      <c r="F42" s="171"/>
      <c r="G42" s="171"/>
      <c r="H42" s="171"/>
      <c r="I42" s="170"/>
      <c r="J42" s="170"/>
      <c r="K42" s="238"/>
      <c r="L42" s="238"/>
      <c r="M42" s="349"/>
      <c r="N42" s="237"/>
      <c r="O42" s="351"/>
      <c r="P42" s="237"/>
    </row>
    <row r="43" spans="1:17" s="1" customFormat="1" ht="18" thickBot="1" x14ac:dyDescent="0.35">
      <c r="A43" s="171"/>
      <c r="B43" s="171"/>
      <c r="C43" s="171"/>
      <c r="D43" s="171"/>
      <c r="E43" s="171"/>
      <c r="F43" s="171"/>
      <c r="G43" s="171"/>
      <c r="H43" s="171"/>
      <c r="I43" s="343" t="s">
        <v>225</v>
      </c>
      <c r="J43" s="344"/>
      <c r="K43" s="344"/>
      <c r="L43" s="344"/>
      <c r="M43" s="598"/>
      <c r="N43" s="598"/>
      <c r="O43" s="344" t="s">
        <v>226</v>
      </c>
      <c r="P43" s="345"/>
    </row>
    <row r="44" spans="1:17" s="1" customFormat="1" ht="18" thickBot="1" x14ac:dyDescent="0.35">
      <c r="A44" s="171"/>
      <c r="B44" s="171"/>
      <c r="C44" s="171"/>
      <c r="D44" s="171"/>
      <c r="E44" s="171"/>
      <c r="F44" s="171"/>
      <c r="G44" s="171"/>
      <c r="H44" s="171"/>
      <c r="I44" s="341">
        <f>Input!C56</f>
        <v>0</v>
      </c>
      <c r="J44" s="346" t="s">
        <v>2</v>
      </c>
      <c r="K44" s="352">
        <f>N37</f>
        <v>0</v>
      </c>
      <c r="L44" s="346" t="s">
        <v>223</v>
      </c>
      <c r="M44" s="600"/>
      <c r="N44" s="601" t="s">
        <v>0</v>
      </c>
      <c r="O44" s="603">
        <f>(I44*K44)</f>
        <v>0</v>
      </c>
      <c r="P44" s="597" t="s">
        <v>92</v>
      </c>
    </row>
    <row r="45" spans="1:17" s="1" customFormat="1" x14ac:dyDescent="0.2"/>
    <row r="46" spans="1:17" s="1" customFormat="1" x14ac:dyDescent="0.2"/>
    <row r="47" spans="1:17" s="1" customFormat="1" x14ac:dyDescent="0.2"/>
    <row r="48" spans="1:17" s="1" customFormat="1" x14ac:dyDescent="0.2"/>
    <row r="49" s="1" customFormat="1" x14ac:dyDescent="0.2"/>
    <row r="50" s="1" customFormat="1" x14ac:dyDescent="0.2"/>
  </sheetData>
  <sheetProtection selectLockedCells="1"/>
  <mergeCells count="8">
    <mergeCell ref="B2:N2"/>
    <mergeCell ref="B4:N4"/>
    <mergeCell ref="I35:M35"/>
    <mergeCell ref="I37:M37"/>
    <mergeCell ref="K34:L34"/>
    <mergeCell ref="I36:L36"/>
    <mergeCell ref="A7:N7"/>
    <mergeCell ref="A8:N8"/>
  </mergeCells>
  <printOptions horizontalCentered="1"/>
  <pageMargins left="0.25" right="0.25" top="0.75" bottom="0.75" header="0.3" footer="0.3"/>
  <pageSetup scale="74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R38"/>
  <sheetViews>
    <sheetView workbookViewId="0">
      <selection activeCell="G13" sqref="G13"/>
    </sheetView>
  </sheetViews>
  <sheetFormatPr defaultRowHeight="12.75" x14ac:dyDescent="0.2"/>
  <cols>
    <col min="2" max="2" width="6.7109375" customWidth="1"/>
    <col min="3" max="3" width="7" customWidth="1"/>
    <col min="4" max="4" width="9.7109375" customWidth="1"/>
    <col min="5" max="5" width="11.42578125" bestFit="1" customWidth="1"/>
    <col min="6" max="6" width="3" customWidth="1"/>
    <col min="7" max="7" width="19.28515625" customWidth="1"/>
    <col min="8" max="8" width="3.28515625" customWidth="1"/>
    <col min="9" max="9" width="16.42578125" customWidth="1"/>
    <col min="10" max="10" width="3.5703125" customWidth="1"/>
    <col min="11" max="11" width="18.5703125" customWidth="1"/>
    <col min="12" max="12" width="3.42578125" customWidth="1"/>
    <col min="13" max="13" width="9.5703125" bestFit="1" customWidth="1"/>
    <col min="14" max="14" width="11" customWidth="1"/>
  </cols>
  <sheetData>
    <row r="1" spans="1:18" ht="14.25" thickTop="1" thickBot="1" x14ac:dyDescent="0.25">
      <c r="A1" s="565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505"/>
    </row>
    <row r="2" spans="1:18" ht="32.25" thickTop="1" thickBot="1" x14ac:dyDescent="0.6">
      <c r="A2" s="566"/>
      <c r="B2" s="753" t="str">
        <f>Input!B7</f>
        <v>55555, 55556, 55557</v>
      </c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5"/>
      <c r="N2" s="48"/>
    </row>
    <row r="3" spans="1:18" ht="14.25" thickTop="1" thickBot="1" x14ac:dyDescent="0.25">
      <c r="A3" s="566"/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8"/>
    </row>
    <row r="4" spans="1:18" ht="32.25" thickTop="1" thickBot="1" x14ac:dyDescent="0.6">
      <c r="A4" s="567"/>
      <c r="B4" s="753" t="s">
        <v>101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5"/>
      <c r="N4" s="48"/>
    </row>
    <row r="5" spans="1:18" ht="14.25" thickTop="1" thickBot="1" x14ac:dyDescent="0.25">
      <c r="A5" s="568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509"/>
    </row>
    <row r="6" spans="1:18" ht="18" thickTop="1" x14ac:dyDescent="0.3">
      <c r="A6" s="177"/>
      <c r="B6" s="177"/>
      <c r="C6" s="177"/>
      <c r="D6" s="177"/>
      <c r="E6" s="177"/>
      <c r="F6" s="177"/>
      <c r="G6" s="177"/>
      <c r="H6" s="177"/>
      <c r="I6" s="177"/>
      <c r="J6" s="177"/>
      <c r="K6" s="177"/>
      <c r="L6" s="177"/>
      <c r="M6" s="177"/>
      <c r="N6" s="177"/>
    </row>
    <row r="7" spans="1:18" ht="17.25" x14ac:dyDescent="0.3">
      <c r="A7" s="729" t="s">
        <v>366</v>
      </c>
      <c r="B7" s="729"/>
      <c r="C7" s="729"/>
      <c r="D7" s="729"/>
      <c r="E7" s="729"/>
      <c r="F7" s="729"/>
      <c r="G7" s="729"/>
      <c r="H7" s="729"/>
      <c r="I7" s="729"/>
      <c r="J7" s="729"/>
      <c r="K7" s="729"/>
      <c r="L7" s="729"/>
      <c r="M7" s="729"/>
      <c r="N7" s="729"/>
    </row>
    <row r="8" spans="1:18" ht="17.25" x14ac:dyDescent="0.3">
      <c r="A8" s="729" t="s">
        <v>357</v>
      </c>
      <c r="B8" s="729"/>
      <c r="C8" s="729"/>
      <c r="D8" s="729"/>
      <c r="E8" s="729"/>
      <c r="F8" s="729"/>
      <c r="G8" s="729"/>
      <c r="H8" s="729"/>
      <c r="I8" s="729"/>
      <c r="J8" s="729"/>
      <c r="K8" s="729"/>
      <c r="L8" s="729"/>
      <c r="M8" s="729"/>
      <c r="N8" s="729"/>
    </row>
    <row r="9" spans="1:18" ht="18" thickBot="1" x14ac:dyDescent="0.35">
      <c r="A9" s="339"/>
      <c r="B9" s="339"/>
      <c r="C9" s="339"/>
      <c r="D9" s="339"/>
      <c r="E9" s="339"/>
      <c r="F9" s="339"/>
      <c r="G9" s="339"/>
      <c r="H9" s="339"/>
      <c r="I9" s="339"/>
      <c r="J9" s="339"/>
      <c r="K9" s="339"/>
      <c r="L9" s="339"/>
      <c r="M9" s="339"/>
      <c r="N9" s="339"/>
    </row>
    <row r="10" spans="1:18" ht="18" thickTop="1" x14ac:dyDescent="0.3">
      <c r="A10" s="389" t="s">
        <v>27</v>
      </c>
      <c r="B10" s="189"/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390"/>
    </row>
    <row r="11" spans="1:18" ht="17.25" x14ac:dyDescent="0.3">
      <c r="A11" s="325"/>
      <c r="B11" s="177"/>
      <c r="C11" s="177"/>
      <c r="D11" s="177"/>
      <c r="E11" s="177"/>
      <c r="F11" s="177"/>
      <c r="G11" s="177"/>
      <c r="H11" s="177"/>
      <c r="I11" s="177"/>
      <c r="J11" s="177"/>
      <c r="K11" s="177"/>
      <c r="L11" s="177"/>
      <c r="M11" s="177"/>
      <c r="N11" s="281"/>
    </row>
    <row r="12" spans="1:18" ht="17.25" x14ac:dyDescent="0.3">
      <c r="A12" s="325"/>
      <c r="B12" s="177" t="s">
        <v>179</v>
      </c>
      <c r="C12" s="177"/>
      <c r="D12" s="177"/>
      <c r="E12" s="177"/>
      <c r="F12" s="177"/>
      <c r="G12" s="177"/>
      <c r="H12" s="177"/>
      <c r="I12" s="177"/>
      <c r="J12" s="177"/>
      <c r="K12" s="177"/>
      <c r="L12" s="177"/>
      <c r="M12" s="177"/>
      <c r="N12" s="281"/>
    </row>
    <row r="13" spans="1:18" ht="18" thickBot="1" x14ac:dyDescent="0.35">
      <c r="A13" s="325"/>
      <c r="B13" s="177"/>
      <c r="C13" s="177"/>
      <c r="D13" s="177"/>
      <c r="E13" s="177"/>
      <c r="F13" s="177"/>
      <c r="G13" s="177"/>
      <c r="H13" s="177"/>
      <c r="I13" s="196" t="s">
        <v>33</v>
      </c>
      <c r="J13" s="196"/>
      <c r="K13" s="196" t="s">
        <v>34</v>
      </c>
      <c r="L13" s="177"/>
      <c r="M13" s="177"/>
      <c r="N13" s="281"/>
    </row>
    <row r="14" spans="1:18" ht="18" thickBot="1" x14ac:dyDescent="0.35">
      <c r="A14" s="325"/>
      <c r="B14" s="275">
        <f>Input!C63</f>
        <v>1.72</v>
      </c>
      <c r="C14" s="204" t="s">
        <v>42</v>
      </c>
      <c r="D14" s="196"/>
      <c r="E14" s="196"/>
      <c r="F14" s="196" t="s">
        <v>2</v>
      </c>
      <c r="G14" s="278" t="s">
        <v>337</v>
      </c>
      <c r="H14" s="196" t="s">
        <v>2</v>
      </c>
      <c r="I14" s="570">
        <f>Input!C34</f>
        <v>44.35</v>
      </c>
      <c r="J14" s="196" t="s">
        <v>2</v>
      </c>
      <c r="K14" s="571">
        <f>Input!C35</f>
        <v>0.74219999999999997</v>
      </c>
      <c r="L14" s="196" t="s">
        <v>0</v>
      </c>
      <c r="M14" s="275">
        <f>ROUND(B14/1*1/379*I14*K14, 2)</f>
        <v>0.15</v>
      </c>
      <c r="N14" s="353" t="s">
        <v>30</v>
      </c>
      <c r="R14" s="88"/>
    </row>
    <row r="15" spans="1:18" ht="17.25" x14ac:dyDescent="0.3">
      <c r="A15" s="325"/>
      <c r="B15" s="431"/>
      <c r="C15" s="487"/>
      <c r="D15" s="196"/>
      <c r="E15" s="196"/>
      <c r="F15" s="196"/>
      <c r="G15" s="196"/>
      <c r="H15" s="196"/>
      <c r="I15" s="431"/>
      <c r="J15" s="196"/>
      <c r="K15" s="431"/>
      <c r="L15" s="196"/>
      <c r="M15" s="572"/>
      <c r="N15" s="353"/>
    </row>
    <row r="16" spans="1:18" ht="17.25" x14ac:dyDescent="0.3">
      <c r="A16" s="325"/>
      <c r="B16" s="177"/>
      <c r="C16" s="177"/>
      <c r="D16" s="196"/>
      <c r="E16" s="196"/>
      <c r="F16" s="196"/>
      <c r="G16" s="196"/>
      <c r="H16" s="196"/>
      <c r="I16" s="196" t="s">
        <v>32</v>
      </c>
      <c r="J16" s="196"/>
      <c r="K16" s="177"/>
      <c r="L16" s="196"/>
      <c r="M16" s="177"/>
      <c r="N16" s="281"/>
    </row>
    <row r="17" spans="1:14" ht="18" thickBot="1" x14ac:dyDescent="0.35">
      <c r="A17" s="325"/>
      <c r="B17" s="177"/>
      <c r="C17" s="177"/>
      <c r="D17" s="196"/>
      <c r="E17" s="196"/>
      <c r="F17" s="196"/>
      <c r="G17" s="196" t="s">
        <v>28</v>
      </c>
      <c r="H17" s="196"/>
      <c r="I17" s="196" t="s">
        <v>60</v>
      </c>
      <c r="J17" s="196"/>
      <c r="K17" s="196"/>
      <c r="L17" s="196"/>
      <c r="M17" s="177"/>
      <c r="N17" s="281"/>
    </row>
    <row r="18" spans="1:14" ht="18" thickBot="1" x14ac:dyDescent="0.35">
      <c r="A18" s="325"/>
      <c r="B18" s="232"/>
      <c r="C18" s="177"/>
      <c r="D18" s="196"/>
      <c r="E18" s="431"/>
      <c r="F18" s="196"/>
      <c r="G18" s="570">
        <f>M14</f>
        <v>0.15</v>
      </c>
      <c r="H18" s="196" t="s">
        <v>2</v>
      </c>
      <c r="I18" s="573">
        <f>Input!C57</f>
        <v>4380</v>
      </c>
      <c r="J18" s="196" t="s">
        <v>2</v>
      </c>
      <c r="K18" s="278" t="s">
        <v>29</v>
      </c>
      <c r="L18" s="196" t="s">
        <v>0</v>
      </c>
      <c r="M18" s="275">
        <f>(G18*I18/2000)</f>
        <v>0.32850000000000001</v>
      </c>
      <c r="N18" s="340" t="s">
        <v>31</v>
      </c>
    </row>
    <row r="19" spans="1:14" ht="17.25" x14ac:dyDescent="0.3">
      <c r="A19" s="325"/>
      <c r="B19" s="232"/>
      <c r="C19" s="177"/>
      <c r="D19" s="196"/>
      <c r="E19" s="431"/>
      <c r="F19" s="196"/>
      <c r="G19" s="232"/>
      <c r="H19" s="196"/>
      <c r="I19" s="431"/>
      <c r="J19" s="196"/>
      <c r="K19" s="196"/>
      <c r="L19" s="196"/>
      <c r="M19" s="255"/>
      <c r="N19" s="281"/>
    </row>
    <row r="20" spans="1:14" ht="18" thickBot="1" x14ac:dyDescent="0.35">
      <c r="A20" s="325"/>
      <c r="B20" s="177"/>
      <c r="C20" s="177"/>
      <c r="D20" s="196"/>
      <c r="E20" s="196"/>
      <c r="F20" s="196"/>
      <c r="G20" s="196"/>
      <c r="H20" s="196"/>
      <c r="I20" s="196" t="s">
        <v>33</v>
      </c>
      <c r="J20" s="196"/>
      <c r="K20" s="196" t="s">
        <v>78</v>
      </c>
      <c r="L20" s="196"/>
      <c r="M20" s="177"/>
      <c r="N20" s="281"/>
    </row>
    <row r="21" spans="1:14" ht="18" thickBot="1" x14ac:dyDescent="0.35">
      <c r="A21" s="325"/>
      <c r="B21" s="569">
        <f>B14</f>
        <v>1.72</v>
      </c>
      <c r="C21" s="276" t="s">
        <v>42</v>
      </c>
      <c r="D21" s="196"/>
      <c r="E21" s="196"/>
      <c r="F21" s="196" t="s">
        <v>2</v>
      </c>
      <c r="G21" s="278" t="s">
        <v>337</v>
      </c>
      <c r="H21" s="196" t="s">
        <v>2</v>
      </c>
      <c r="I21" s="570">
        <f>I14</f>
        <v>44.35</v>
      </c>
      <c r="J21" s="196" t="s">
        <v>2</v>
      </c>
      <c r="K21" s="571">
        <f>Input!C36</f>
        <v>0.13930000000000001</v>
      </c>
      <c r="L21" s="196" t="s">
        <v>0</v>
      </c>
      <c r="M21" s="588">
        <f>(B21/1*1/379*I21*K21)</f>
        <v>2.8037157255936678E-2</v>
      </c>
      <c r="N21" s="340" t="s">
        <v>91</v>
      </c>
    </row>
    <row r="22" spans="1:14" ht="17.25" x14ac:dyDescent="0.3">
      <c r="A22" s="325"/>
      <c r="B22" s="431"/>
      <c r="C22" s="487"/>
      <c r="D22" s="177"/>
      <c r="E22" s="177"/>
      <c r="F22" s="177"/>
      <c r="G22" s="177"/>
      <c r="H22" s="196"/>
      <c r="I22" s="431"/>
      <c r="J22" s="196"/>
      <c r="K22" s="431"/>
      <c r="L22" s="196"/>
      <c r="M22" s="572"/>
      <c r="N22" s="281"/>
    </row>
    <row r="23" spans="1:14" ht="17.25" x14ac:dyDescent="0.3">
      <c r="A23" s="325"/>
      <c r="B23" s="177"/>
      <c r="C23" s="177"/>
      <c r="D23" s="177"/>
      <c r="E23" s="177"/>
      <c r="F23" s="177"/>
      <c r="G23" s="177"/>
      <c r="H23" s="196"/>
      <c r="I23" s="196" t="s">
        <v>32</v>
      </c>
      <c r="J23" s="196"/>
      <c r="K23" s="177"/>
      <c r="L23" s="196"/>
      <c r="M23" s="177"/>
      <c r="N23" s="281"/>
    </row>
    <row r="24" spans="1:14" ht="18" thickBot="1" x14ac:dyDescent="0.35">
      <c r="A24" s="325"/>
      <c r="B24" s="177"/>
      <c r="C24" s="177"/>
      <c r="D24" s="177"/>
      <c r="E24" s="196"/>
      <c r="F24" s="177"/>
      <c r="G24" s="196" t="s">
        <v>28</v>
      </c>
      <c r="H24" s="196"/>
      <c r="I24" s="196" t="s">
        <v>60</v>
      </c>
      <c r="J24" s="196"/>
      <c r="K24" s="196"/>
      <c r="L24" s="196"/>
      <c r="M24" s="177"/>
      <c r="N24" s="589"/>
    </row>
    <row r="25" spans="1:14" ht="18" thickBot="1" x14ac:dyDescent="0.35">
      <c r="A25" s="325"/>
      <c r="B25" s="232"/>
      <c r="C25" s="177"/>
      <c r="D25" s="177"/>
      <c r="E25" s="431"/>
      <c r="F25" s="177"/>
      <c r="G25" s="570">
        <f>M21</f>
        <v>2.8037157255936678E-2</v>
      </c>
      <c r="H25" s="196" t="s">
        <v>2</v>
      </c>
      <c r="I25" s="573">
        <f>I18</f>
        <v>4380</v>
      </c>
      <c r="J25" s="196" t="s">
        <v>2</v>
      </c>
      <c r="K25" s="278" t="s">
        <v>29</v>
      </c>
      <c r="L25" s="196" t="s">
        <v>0</v>
      </c>
      <c r="M25" s="590">
        <f>(G25*I25/2000)</f>
        <v>6.1401374390501327E-2</v>
      </c>
      <c r="N25" s="281" t="s">
        <v>92</v>
      </c>
    </row>
    <row r="26" spans="1:14" ht="18" thickBot="1" x14ac:dyDescent="0.35">
      <c r="A26" s="327"/>
      <c r="B26" s="254"/>
      <c r="C26" s="254"/>
      <c r="D26" s="254"/>
      <c r="E26" s="254"/>
      <c r="F26" s="254"/>
      <c r="G26" s="254"/>
      <c r="H26" s="254"/>
      <c r="I26" s="254"/>
      <c r="J26" s="254"/>
      <c r="K26" s="254"/>
      <c r="L26" s="254"/>
      <c r="M26" s="254"/>
      <c r="N26" s="608"/>
    </row>
    <row r="27" spans="1:14" ht="18.75" thickTop="1" thickBot="1" x14ac:dyDescent="0.35">
      <c r="A27" s="200"/>
      <c r="B27" s="200"/>
      <c r="C27" s="200"/>
      <c r="D27" s="200"/>
      <c r="E27" s="200"/>
      <c r="F27" s="200"/>
      <c r="G27" s="604" t="s">
        <v>222</v>
      </c>
      <c r="H27" s="605"/>
      <c r="I27" s="605"/>
      <c r="J27" s="605"/>
      <c r="K27" s="606"/>
      <c r="L27" s="606"/>
      <c r="M27" s="605" t="s">
        <v>227</v>
      </c>
      <c r="N27" s="607"/>
    </row>
    <row r="28" spans="1:14" ht="18" thickBot="1" x14ac:dyDescent="0.35">
      <c r="A28" s="200"/>
      <c r="B28" s="200"/>
      <c r="C28" s="200"/>
      <c r="D28" s="200"/>
      <c r="E28" s="200"/>
      <c r="F28" s="200"/>
      <c r="G28" s="591">
        <f>Input!C62</f>
        <v>10</v>
      </c>
      <c r="H28" s="583" t="s">
        <v>2</v>
      </c>
      <c r="I28" s="592">
        <f>M18</f>
        <v>0.32850000000000001</v>
      </c>
      <c r="J28" s="583" t="s">
        <v>224</v>
      </c>
      <c r="K28" s="584"/>
      <c r="L28" s="585" t="s">
        <v>0</v>
      </c>
      <c r="M28" s="586">
        <f>(G28*M18)</f>
        <v>3.2850000000000001</v>
      </c>
      <c r="N28" s="347" t="s">
        <v>31</v>
      </c>
    </row>
    <row r="29" spans="1:14" ht="17.25" x14ac:dyDescent="0.3">
      <c r="A29" s="200"/>
      <c r="B29" s="200"/>
      <c r="C29" s="200"/>
      <c r="D29" s="200"/>
      <c r="E29" s="200"/>
      <c r="F29" s="200"/>
      <c r="G29" s="235"/>
      <c r="H29" s="200"/>
      <c r="I29" s="177"/>
      <c r="J29" s="177"/>
      <c r="K29" s="230"/>
      <c r="L29" s="181"/>
      <c r="M29" s="291"/>
      <c r="N29" s="177"/>
    </row>
    <row r="30" spans="1:14" ht="18" thickBot="1" x14ac:dyDescent="0.35">
      <c r="A30" s="200"/>
      <c r="B30" s="200"/>
      <c r="C30" s="200"/>
      <c r="D30" s="200"/>
      <c r="E30" s="200"/>
      <c r="F30" s="200"/>
      <c r="G30" s="200"/>
      <c r="H30" s="200"/>
      <c r="I30" s="181"/>
      <c r="J30" s="181"/>
      <c r="K30" s="230"/>
      <c r="L30" s="177"/>
      <c r="M30" s="587"/>
      <c r="N30" s="177"/>
    </row>
    <row r="31" spans="1:14" ht="18" thickBot="1" x14ac:dyDescent="0.35">
      <c r="A31" s="200"/>
      <c r="B31" s="200"/>
      <c r="C31" s="200"/>
      <c r="D31" s="200"/>
      <c r="E31" s="200"/>
      <c r="F31" s="200"/>
      <c r="G31" s="579" t="s">
        <v>222</v>
      </c>
      <c r="H31" s="580"/>
      <c r="I31" s="580"/>
      <c r="J31" s="580"/>
      <c r="K31" s="581"/>
      <c r="L31" s="581"/>
      <c r="M31" s="580" t="s">
        <v>227</v>
      </c>
      <c r="N31" s="582"/>
    </row>
    <row r="32" spans="1:14" ht="18" thickBot="1" x14ac:dyDescent="0.35">
      <c r="A32" s="200"/>
      <c r="B32" s="200"/>
      <c r="C32" s="200"/>
      <c r="D32" s="200"/>
      <c r="E32" s="200"/>
      <c r="F32" s="200"/>
      <c r="G32" s="591">
        <f>Input!C62</f>
        <v>10</v>
      </c>
      <c r="H32" s="583" t="s">
        <v>2</v>
      </c>
      <c r="I32" s="588">
        <f>M25</f>
        <v>6.1401374390501327E-2</v>
      </c>
      <c r="J32" s="583" t="s">
        <v>223</v>
      </c>
      <c r="K32" s="584"/>
      <c r="L32" s="585" t="s">
        <v>0</v>
      </c>
      <c r="M32" s="586">
        <f>(G32*M25)</f>
        <v>0.61401374390501329</v>
      </c>
      <c r="N32" s="347" t="s">
        <v>92</v>
      </c>
    </row>
    <row r="33" spans="1:17" ht="17.25" x14ac:dyDescent="0.3">
      <c r="A33" s="170"/>
      <c r="B33" s="170"/>
      <c r="C33" s="170"/>
      <c r="D33" s="170"/>
      <c r="E33" s="170"/>
      <c r="F33" s="170"/>
      <c r="G33" s="170"/>
      <c r="H33" s="170"/>
      <c r="I33" s="354"/>
      <c r="J33" s="354"/>
      <c r="K33" s="354"/>
      <c r="L33" s="237"/>
      <c r="M33" s="350"/>
      <c r="N33" s="355"/>
    </row>
    <row r="34" spans="1:17" x14ac:dyDescent="0.2">
      <c r="A34" s="61"/>
      <c r="B34" s="61"/>
      <c r="C34" s="61"/>
      <c r="D34" s="61"/>
      <c r="E34" s="61"/>
      <c r="F34" s="61"/>
      <c r="G34" s="61"/>
      <c r="H34" s="61"/>
      <c r="I34" s="59"/>
      <c r="J34" s="59"/>
      <c r="K34" s="59"/>
      <c r="L34" s="59"/>
      <c r="M34" s="60"/>
      <c r="N34" s="63"/>
      <c r="Q34" s="23"/>
    </row>
    <row r="35" spans="1:17" x14ac:dyDescent="0.2">
      <c r="A35" s="61"/>
      <c r="B35" s="61"/>
      <c r="C35" s="61"/>
      <c r="D35" s="61"/>
      <c r="E35" s="61"/>
      <c r="F35" s="61"/>
      <c r="G35" s="61"/>
      <c r="H35" s="61"/>
      <c r="I35" s="67"/>
      <c r="J35" s="67"/>
      <c r="K35" s="67"/>
      <c r="L35" s="58"/>
      <c r="M35" s="66"/>
      <c r="N35" s="65"/>
    </row>
    <row r="36" spans="1:17" x14ac:dyDescent="0.2">
      <c r="A36" s="61"/>
      <c r="B36" s="61"/>
      <c r="C36" s="61"/>
      <c r="D36" s="61"/>
      <c r="E36" s="61"/>
      <c r="F36" s="61"/>
      <c r="G36" s="61"/>
      <c r="H36" s="61"/>
      <c r="I36" s="58"/>
      <c r="J36" s="58"/>
      <c r="K36" s="58"/>
      <c r="L36" s="58"/>
      <c r="M36" s="58"/>
      <c r="N36" s="58"/>
    </row>
    <row r="37" spans="1:17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7" x14ac:dyDescent="0.2">
      <c r="G38" s="16"/>
    </row>
  </sheetData>
  <sheetProtection selectLockedCells="1"/>
  <mergeCells count="4">
    <mergeCell ref="B2:M2"/>
    <mergeCell ref="B4:M4"/>
    <mergeCell ref="A7:N7"/>
    <mergeCell ref="A8:N8"/>
  </mergeCells>
  <printOptions horizontalCentered="1"/>
  <pageMargins left="0.25" right="0.25" top="0.75" bottom="0.75" header="0.3" footer="0.3"/>
  <pageSetup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P608"/>
  <sheetViews>
    <sheetView workbookViewId="0">
      <selection activeCell="A14" sqref="A14"/>
    </sheetView>
  </sheetViews>
  <sheetFormatPr defaultRowHeight="15" x14ac:dyDescent="0.2"/>
  <cols>
    <col min="1" max="1" width="46.28515625" style="18" customWidth="1"/>
    <col min="2" max="2" width="18.85546875" style="4" bestFit="1" customWidth="1"/>
    <col min="3" max="3" width="9.140625" style="4"/>
    <col min="4" max="4" width="10.85546875" style="4" bestFit="1" customWidth="1"/>
    <col min="5" max="5" width="15.28515625" style="4" bestFit="1" customWidth="1"/>
    <col min="6" max="6" width="14" style="4" bestFit="1" customWidth="1"/>
    <col min="7" max="16384" width="9.140625" style="4"/>
  </cols>
  <sheetData>
    <row r="1" spans="1:16" ht="17.25" x14ac:dyDescent="0.3">
      <c r="A1" s="167" t="s">
        <v>96</v>
      </c>
      <c r="B1" s="168" t="s">
        <v>229</v>
      </c>
      <c r="C1" s="168"/>
      <c r="D1" s="168" t="s">
        <v>262</v>
      </c>
      <c r="E1" s="168" t="s">
        <v>264</v>
      </c>
      <c r="F1" s="168" t="s">
        <v>266</v>
      </c>
      <c r="G1" s="168"/>
      <c r="H1" s="172"/>
      <c r="I1" s="168"/>
      <c r="J1" s="168"/>
      <c r="K1" s="168" t="s">
        <v>318</v>
      </c>
      <c r="L1" s="168"/>
      <c r="M1" s="168"/>
      <c r="N1" s="168"/>
      <c r="O1" s="168"/>
      <c r="P1" s="168"/>
    </row>
    <row r="2" spans="1:16" ht="17.25" x14ac:dyDescent="0.3">
      <c r="A2" s="169" t="s">
        <v>24</v>
      </c>
      <c r="B2" s="168" t="s">
        <v>230</v>
      </c>
      <c r="C2" s="168"/>
      <c r="D2" s="168" t="s">
        <v>263</v>
      </c>
      <c r="E2" s="168" t="s">
        <v>265</v>
      </c>
      <c r="F2" s="168" t="s">
        <v>267</v>
      </c>
      <c r="G2" s="168"/>
      <c r="H2" s="172"/>
      <c r="I2" s="168"/>
      <c r="J2" s="168"/>
      <c r="K2" s="168" t="s">
        <v>319</v>
      </c>
      <c r="L2" s="168"/>
      <c r="M2" s="168"/>
      <c r="N2" s="168"/>
      <c r="O2" s="168"/>
      <c r="P2" s="168"/>
    </row>
    <row r="3" spans="1:16" ht="17.25" x14ac:dyDescent="0.3">
      <c r="A3" s="169" t="s">
        <v>25</v>
      </c>
      <c r="B3" s="168" t="s">
        <v>231</v>
      </c>
      <c r="C3" s="168"/>
      <c r="D3" s="168"/>
      <c r="E3" s="168"/>
      <c r="F3" s="168"/>
      <c r="G3" s="168"/>
      <c r="H3" s="172"/>
      <c r="I3" s="168"/>
      <c r="J3" s="168"/>
      <c r="K3" s="168"/>
      <c r="L3" s="168"/>
      <c r="M3" s="168"/>
      <c r="N3" s="168"/>
      <c r="O3" s="168"/>
      <c r="P3" s="168"/>
    </row>
    <row r="4" spans="1:16" ht="17.25" x14ac:dyDescent="0.3">
      <c r="A4" s="169" t="s">
        <v>26</v>
      </c>
      <c r="B4" s="168" t="s">
        <v>348</v>
      </c>
      <c r="C4" s="168"/>
      <c r="D4" s="168"/>
      <c r="E4" s="168"/>
      <c r="F4" s="168"/>
      <c r="G4" s="168"/>
      <c r="H4" s="172"/>
      <c r="I4" s="168"/>
      <c r="J4" s="168"/>
      <c r="K4" s="168"/>
      <c r="L4" s="168"/>
      <c r="M4" s="168"/>
      <c r="N4" s="168"/>
      <c r="O4" s="168"/>
      <c r="P4" s="168"/>
    </row>
    <row r="5" spans="1:16" ht="17.25" x14ac:dyDescent="0.3">
      <c r="A5" s="169" t="s">
        <v>327</v>
      </c>
      <c r="B5" s="168" t="s">
        <v>349</v>
      </c>
      <c r="C5" s="168"/>
      <c r="D5" s="168"/>
      <c r="E5" s="168"/>
      <c r="F5" s="168"/>
      <c r="G5" s="168"/>
      <c r="H5" s="172"/>
      <c r="I5" s="168"/>
      <c r="J5" s="168"/>
      <c r="K5" s="168"/>
      <c r="L5" s="168"/>
      <c r="M5" s="168"/>
      <c r="N5" s="168"/>
      <c r="O5" s="168"/>
      <c r="P5" s="168"/>
    </row>
    <row r="6" spans="1:16" ht="17.25" x14ac:dyDescent="0.3">
      <c r="A6" s="169" t="s">
        <v>328</v>
      </c>
      <c r="B6" s="168" t="s">
        <v>161</v>
      </c>
      <c r="C6" s="168"/>
      <c r="D6" s="168"/>
      <c r="E6" s="168"/>
      <c r="F6" s="168"/>
      <c r="G6" s="168"/>
      <c r="H6" s="172"/>
      <c r="I6" s="168"/>
      <c r="J6" s="168"/>
      <c r="K6" s="168"/>
      <c r="L6" s="168"/>
      <c r="M6" s="168"/>
      <c r="N6" s="168"/>
      <c r="O6" s="168"/>
      <c r="P6" s="168"/>
    </row>
    <row r="7" spans="1:16" ht="17.25" x14ac:dyDescent="0.3">
      <c r="A7" s="169" t="s">
        <v>119</v>
      </c>
      <c r="C7" s="168"/>
      <c r="D7" s="168"/>
      <c r="E7" s="168"/>
      <c r="F7" s="168"/>
      <c r="G7" s="168"/>
      <c r="H7" s="172"/>
      <c r="I7" s="168"/>
      <c r="J7" s="168"/>
      <c r="K7" s="168"/>
      <c r="L7" s="168"/>
      <c r="M7" s="168"/>
      <c r="N7" s="168"/>
      <c r="O7" s="168"/>
      <c r="P7" s="168"/>
    </row>
    <row r="8" spans="1:16" ht="17.25" x14ac:dyDescent="0.3">
      <c r="A8" s="169" t="s">
        <v>121</v>
      </c>
      <c r="B8" s="168"/>
      <c r="C8" s="168"/>
      <c r="D8" s="168"/>
      <c r="E8" s="168"/>
      <c r="F8" s="168"/>
      <c r="G8" s="168"/>
      <c r="H8" s="172"/>
      <c r="I8" s="168"/>
      <c r="J8" s="168"/>
      <c r="K8" s="168"/>
      <c r="L8" s="168"/>
      <c r="M8" s="168"/>
      <c r="N8" s="168"/>
      <c r="O8" s="168"/>
      <c r="P8" s="168"/>
    </row>
    <row r="9" spans="1:16" ht="17.25" x14ac:dyDescent="0.3">
      <c r="A9" s="169" t="s">
        <v>113</v>
      </c>
      <c r="B9" s="168"/>
      <c r="C9" s="168"/>
      <c r="D9" s="168"/>
      <c r="E9" s="168"/>
      <c r="F9" s="168"/>
      <c r="G9" s="168"/>
      <c r="H9" s="172"/>
      <c r="I9" s="168"/>
      <c r="J9" s="168"/>
      <c r="K9" s="168"/>
      <c r="L9" s="168"/>
      <c r="M9" s="168"/>
      <c r="N9" s="168"/>
      <c r="O9" s="168"/>
      <c r="P9" s="168"/>
    </row>
    <row r="10" spans="1:16" ht="17.25" x14ac:dyDescent="0.3">
      <c r="A10" s="169" t="s">
        <v>120</v>
      </c>
      <c r="B10" s="168"/>
      <c r="C10" s="168"/>
      <c r="D10" s="168"/>
      <c r="E10" s="168"/>
      <c r="F10" s="168"/>
      <c r="G10" s="168"/>
      <c r="H10" s="172"/>
      <c r="I10" s="168"/>
      <c r="J10" s="168"/>
      <c r="K10" s="168"/>
      <c r="L10" s="168"/>
      <c r="M10" s="168"/>
      <c r="N10" s="168"/>
      <c r="O10" s="168"/>
      <c r="P10" s="168"/>
    </row>
    <row r="11" spans="1:16" ht="17.25" x14ac:dyDescent="0.3">
      <c r="A11" s="169" t="s">
        <v>114</v>
      </c>
      <c r="B11" s="168"/>
      <c r="C11" s="168"/>
      <c r="D11" s="168"/>
      <c r="E11" s="168"/>
      <c r="F11" s="168"/>
      <c r="G11" s="168"/>
      <c r="H11" s="172"/>
      <c r="I11" s="168"/>
      <c r="J11" s="168"/>
      <c r="K11" s="168"/>
      <c r="L11" s="168"/>
      <c r="M11" s="168"/>
      <c r="N11" s="168"/>
      <c r="O11" s="168"/>
      <c r="P11" s="168"/>
    </row>
    <row r="12" spans="1:16" ht="17.25" x14ac:dyDescent="0.3">
      <c r="A12" s="169" t="s">
        <v>228</v>
      </c>
      <c r="B12" s="168"/>
      <c r="C12" s="168"/>
      <c r="D12" s="168"/>
      <c r="E12" s="168"/>
      <c r="F12" s="168"/>
      <c r="G12" s="168"/>
      <c r="H12" s="172"/>
      <c r="I12" s="168"/>
      <c r="J12" s="168"/>
      <c r="K12" s="168"/>
      <c r="L12" s="168"/>
      <c r="M12" s="168"/>
      <c r="N12" s="168"/>
      <c r="O12" s="168"/>
      <c r="P12" s="168"/>
    </row>
    <row r="13" spans="1:16" ht="17.25" x14ac:dyDescent="0.3">
      <c r="A13" s="169" t="s">
        <v>347</v>
      </c>
      <c r="B13" s="168"/>
      <c r="C13" s="168"/>
      <c r="D13" s="168"/>
      <c r="E13" s="168"/>
      <c r="F13" s="168"/>
      <c r="G13" s="168"/>
      <c r="H13" s="172"/>
      <c r="I13" s="168"/>
      <c r="J13" s="168"/>
      <c r="K13" s="168"/>
      <c r="L13" s="168"/>
      <c r="M13" s="168"/>
      <c r="N13" s="168"/>
      <c r="O13" s="168"/>
      <c r="P13" s="168"/>
    </row>
    <row r="14" spans="1:16" ht="17.25" x14ac:dyDescent="0.3">
      <c r="A14" s="169" t="s">
        <v>127</v>
      </c>
      <c r="B14" s="168"/>
      <c r="C14" s="168"/>
      <c r="D14" s="168"/>
      <c r="E14" s="168"/>
      <c r="F14" s="168"/>
      <c r="G14" s="168"/>
      <c r="H14" s="172"/>
      <c r="I14" s="168"/>
      <c r="J14" s="168"/>
      <c r="K14" s="168"/>
      <c r="L14" s="168"/>
      <c r="M14" s="168"/>
      <c r="N14" s="168"/>
      <c r="O14" s="168"/>
      <c r="P14" s="168"/>
    </row>
    <row r="15" spans="1:16" ht="17.25" x14ac:dyDescent="0.3">
      <c r="A15" s="169" t="s">
        <v>125</v>
      </c>
      <c r="B15" s="168"/>
      <c r="C15" s="168"/>
      <c r="D15" s="168"/>
      <c r="E15" s="168"/>
      <c r="F15" s="168"/>
      <c r="G15" s="168"/>
      <c r="H15" s="172"/>
      <c r="I15" s="168"/>
      <c r="J15" s="168"/>
      <c r="K15" s="168"/>
      <c r="L15" s="168"/>
      <c r="M15" s="168"/>
      <c r="N15" s="168"/>
      <c r="O15" s="168"/>
      <c r="P15" s="168"/>
    </row>
    <row r="16" spans="1:16" ht="17.25" x14ac:dyDescent="0.3">
      <c r="A16" s="169" t="s">
        <v>126</v>
      </c>
      <c r="B16" s="168"/>
      <c r="C16" s="168"/>
      <c r="D16" s="168"/>
      <c r="E16" s="168"/>
      <c r="F16" s="168"/>
      <c r="G16" s="168"/>
      <c r="H16" s="172"/>
      <c r="I16" s="168"/>
      <c r="J16" s="168"/>
      <c r="K16" s="168"/>
      <c r="L16" s="168"/>
      <c r="M16" s="168"/>
      <c r="N16" s="168"/>
      <c r="O16" s="168"/>
      <c r="P16" s="168"/>
    </row>
    <row r="17" spans="1:16" ht="17.25" x14ac:dyDescent="0.3">
      <c r="A17" s="169"/>
      <c r="B17" s="168"/>
      <c r="C17" s="168"/>
      <c r="D17" s="168"/>
      <c r="E17" s="168"/>
      <c r="F17" s="168"/>
      <c r="G17" s="168"/>
      <c r="H17" s="172"/>
      <c r="I17" s="168"/>
      <c r="J17" s="168"/>
      <c r="K17" s="168"/>
      <c r="L17" s="168"/>
      <c r="M17" s="168"/>
      <c r="N17" s="168"/>
      <c r="O17" s="168"/>
      <c r="P17" s="168"/>
    </row>
    <row r="18" spans="1:16" ht="17.25" x14ac:dyDescent="0.3">
      <c r="A18" s="170"/>
      <c r="B18" s="168"/>
      <c r="C18" s="168"/>
      <c r="D18" s="168"/>
      <c r="E18" s="168"/>
      <c r="F18" s="168"/>
      <c r="G18" s="168"/>
      <c r="H18" s="172"/>
      <c r="I18" s="168"/>
      <c r="J18" s="168"/>
      <c r="K18" s="168"/>
      <c r="L18" s="168"/>
      <c r="M18" s="168"/>
      <c r="N18" s="168"/>
      <c r="O18" s="168"/>
      <c r="P18" s="168"/>
    </row>
    <row r="19" spans="1:16" ht="17.25" x14ac:dyDescent="0.3">
      <c r="A19" s="169" t="s">
        <v>113</v>
      </c>
      <c r="B19" s="168"/>
      <c r="C19" s="168"/>
      <c r="D19" s="168"/>
      <c r="E19" s="168"/>
      <c r="F19" s="168"/>
      <c r="G19" s="168"/>
      <c r="H19" s="172"/>
      <c r="I19" s="168"/>
      <c r="J19" s="168"/>
      <c r="K19" s="168"/>
      <c r="L19" s="168"/>
      <c r="M19" s="168"/>
      <c r="N19" s="168"/>
      <c r="O19" s="168"/>
      <c r="P19" s="168"/>
    </row>
    <row r="20" spans="1:16" ht="17.25" x14ac:dyDescent="0.3">
      <c r="A20" s="169" t="s">
        <v>120</v>
      </c>
      <c r="B20" s="168"/>
      <c r="C20" s="168"/>
      <c r="D20" s="168"/>
      <c r="E20" s="168"/>
      <c r="F20" s="168"/>
      <c r="G20" s="168"/>
      <c r="H20" s="172"/>
      <c r="I20" s="168"/>
      <c r="J20" s="168"/>
      <c r="K20" s="168"/>
      <c r="L20" s="168"/>
      <c r="M20" s="168"/>
      <c r="N20" s="168"/>
      <c r="O20" s="168"/>
      <c r="P20" s="168"/>
    </row>
    <row r="21" spans="1:16" ht="17.25" x14ac:dyDescent="0.3">
      <c r="A21" s="169" t="s">
        <v>114</v>
      </c>
      <c r="B21" s="168"/>
      <c r="C21" s="168"/>
      <c r="D21" s="168"/>
      <c r="E21" s="168"/>
      <c r="F21" s="168"/>
      <c r="G21" s="168"/>
      <c r="H21" s="172"/>
      <c r="I21" s="168"/>
      <c r="J21" s="168"/>
      <c r="K21" s="168"/>
      <c r="L21" s="168"/>
      <c r="M21" s="168"/>
      <c r="N21" s="168"/>
      <c r="O21" s="168"/>
      <c r="P21" s="168"/>
    </row>
    <row r="22" spans="1:16" ht="17.25" x14ac:dyDescent="0.3">
      <c r="A22" s="169" t="s">
        <v>127</v>
      </c>
      <c r="B22" s="168"/>
      <c r="C22" s="168"/>
      <c r="D22" s="168"/>
      <c r="E22" s="168"/>
      <c r="F22" s="168"/>
      <c r="G22" s="168"/>
      <c r="H22" s="172"/>
      <c r="I22" s="168"/>
      <c r="J22" s="168"/>
      <c r="K22" s="168"/>
      <c r="L22" s="168"/>
      <c r="M22" s="168"/>
      <c r="N22" s="168"/>
      <c r="O22" s="168"/>
      <c r="P22" s="168"/>
    </row>
    <row r="23" spans="1:16" ht="17.25" x14ac:dyDescent="0.3">
      <c r="A23" s="170"/>
      <c r="B23" s="168"/>
      <c r="C23" s="168"/>
      <c r="D23" s="168"/>
      <c r="E23" s="168"/>
      <c r="F23" s="168"/>
      <c r="G23" s="168"/>
      <c r="H23" s="172"/>
      <c r="I23" s="168"/>
      <c r="J23" s="168"/>
      <c r="K23" s="168"/>
      <c r="L23" s="168"/>
      <c r="M23" s="168"/>
      <c r="N23" s="168"/>
      <c r="O23" s="168"/>
      <c r="P23" s="168"/>
    </row>
    <row r="24" spans="1:16" ht="17.25" x14ac:dyDescent="0.3">
      <c r="A24" s="169" t="s">
        <v>128</v>
      </c>
      <c r="B24" s="168"/>
      <c r="C24" s="168"/>
      <c r="D24" s="168"/>
      <c r="E24" s="168"/>
      <c r="F24" s="168"/>
      <c r="G24" s="168"/>
      <c r="H24" s="172"/>
      <c r="I24" s="168"/>
      <c r="J24" s="168"/>
      <c r="K24" s="168"/>
      <c r="L24" s="168"/>
      <c r="M24" s="168"/>
      <c r="N24" s="168"/>
      <c r="O24" s="168"/>
      <c r="P24" s="168"/>
    </row>
    <row r="25" spans="1:16" ht="17.25" x14ac:dyDescent="0.3">
      <c r="A25" s="169" t="s">
        <v>129</v>
      </c>
      <c r="B25" s="168"/>
      <c r="C25" s="168"/>
      <c r="D25" s="168"/>
      <c r="E25" s="168"/>
      <c r="F25" s="168"/>
      <c r="G25" s="168"/>
      <c r="H25" s="172"/>
      <c r="I25" s="168"/>
      <c r="J25" s="168"/>
      <c r="K25" s="168"/>
      <c r="L25" s="168"/>
      <c r="M25" s="168"/>
      <c r="N25" s="168"/>
      <c r="O25" s="168"/>
      <c r="P25" s="168"/>
    </row>
    <row r="26" spans="1:16" ht="17.25" x14ac:dyDescent="0.3">
      <c r="A26" s="170"/>
      <c r="B26" s="168"/>
      <c r="C26" s="168"/>
      <c r="D26" s="168"/>
      <c r="E26" s="168"/>
      <c r="F26" s="168"/>
      <c r="G26" s="168"/>
      <c r="H26" s="172"/>
      <c r="I26" s="168"/>
      <c r="J26" s="168"/>
      <c r="K26" s="168"/>
      <c r="L26" s="168"/>
      <c r="M26" s="168"/>
      <c r="N26" s="168"/>
      <c r="O26" s="168"/>
      <c r="P26" s="168"/>
    </row>
    <row r="27" spans="1:16" ht="17.25" x14ac:dyDescent="0.3">
      <c r="A27" s="171"/>
      <c r="B27" s="168"/>
      <c r="C27" s="168"/>
      <c r="D27" s="168"/>
      <c r="E27" s="168"/>
      <c r="F27" s="168"/>
      <c r="G27" s="168"/>
      <c r="H27" s="172"/>
      <c r="I27" s="168"/>
      <c r="J27" s="168"/>
      <c r="K27" s="168"/>
      <c r="L27" s="168"/>
      <c r="M27" s="168"/>
      <c r="N27" s="168"/>
      <c r="O27" s="168"/>
      <c r="P27" s="168"/>
    </row>
    <row r="28" spans="1:16" ht="17.25" x14ac:dyDescent="0.3">
      <c r="A28" s="171"/>
      <c r="B28" s="168"/>
      <c r="C28" s="168"/>
      <c r="D28" s="168"/>
      <c r="E28" s="168"/>
      <c r="F28" s="168"/>
      <c r="G28" s="168"/>
      <c r="H28" s="172"/>
      <c r="I28" s="168"/>
      <c r="J28" s="168"/>
      <c r="K28" s="168"/>
      <c r="L28" s="168"/>
      <c r="M28" s="168"/>
      <c r="N28" s="168"/>
      <c r="O28" s="168"/>
      <c r="P28" s="168"/>
    </row>
    <row r="29" spans="1:16" ht="17.25" x14ac:dyDescent="0.3">
      <c r="A29" s="171"/>
      <c r="B29" s="168"/>
      <c r="C29" s="168"/>
      <c r="D29" s="168"/>
      <c r="E29" s="168"/>
      <c r="F29" s="168"/>
      <c r="G29" s="168"/>
      <c r="H29" s="172"/>
      <c r="I29" s="168"/>
      <c r="J29" s="168"/>
      <c r="K29" s="168"/>
      <c r="L29" s="168"/>
      <c r="M29" s="168"/>
      <c r="N29" s="168"/>
      <c r="O29" s="168"/>
      <c r="P29" s="168"/>
    </row>
    <row r="30" spans="1:16" ht="17.25" x14ac:dyDescent="0.3">
      <c r="A30" s="171"/>
      <c r="B30" s="168"/>
      <c r="C30" s="168"/>
      <c r="D30" s="168"/>
      <c r="E30" s="168"/>
      <c r="F30" s="168"/>
      <c r="G30" s="168"/>
      <c r="H30" s="172"/>
      <c r="I30" s="168"/>
      <c r="J30" s="168"/>
      <c r="K30" s="168"/>
      <c r="L30" s="168"/>
      <c r="M30" s="168"/>
      <c r="N30" s="168"/>
      <c r="O30" s="168"/>
      <c r="P30" s="168"/>
    </row>
    <row r="31" spans="1:16" ht="17.25" x14ac:dyDescent="0.3">
      <c r="A31" s="171"/>
      <c r="B31" s="168"/>
      <c r="C31" s="168"/>
      <c r="D31" s="168"/>
      <c r="E31" s="168"/>
      <c r="F31" s="168"/>
      <c r="G31" s="168"/>
      <c r="H31" s="172"/>
      <c r="I31" s="168"/>
      <c r="J31" s="168"/>
      <c r="K31" s="168"/>
      <c r="L31" s="168"/>
      <c r="M31" s="168"/>
      <c r="N31" s="168"/>
      <c r="O31" s="168"/>
      <c r="P31" s="168"/>
    </row>
    <row r="32" spans="1:16" ht="17.25" x14ac:dyDescent="0.3">
      <c r="A32" s="171"/>
      <c r="B32" s="168"/>
      <c r="C32" s="168"/>
      <c r="D32" s="168"/>
      <c r="E32" s="168"/>
      <c r="F32" s="168"/>
      <c r="G32" s="168"/>
      <c r="H32" s="172"/>
      <c r="I32" s="168"/>
      <c r="J32" s="168"/>
      <c r="K32" s="168"/>
      <c r="L32" s="168"/>
      <c r="M32" s="168"/>
      <c r="N32" s="168"/>
      <c r="O32" s="168"/>
      <c r="P32" s="168"/>
    </row>
    <row r="33" spans="1:16" ht="17.25" x14ac:dyDescent="0.3">
      <c r="A33" s="171"/>
      <c r="B33" s="168"/>
      <c r="C33" s="168"/>
      <c r="D33" s="168"/>
      <c r="E33" s="168"/>
      <c r="F33" s="168"/>
      <c r="G33" s="168"/>
      <c r="H33" s="172"/>
      <c r="I33" s="168"/>
      <c r="J33" s="168"/>
      <c r="K33" s="168"/>
      <c r="L33" s="168"/>
      <c r="M33" s="168"/>
      <c r="N33" s="168"/>
      <c r="O33" s="168"/>
      <c r="P33" s="168"/>
    </row>
    <row r="34" spans="1:16" ht="17.25" x14ac:dyDescent="0.3">
      <c r="A34" s="171"/>
      <c r="B34" s="168"/>
      <c r="C34" s="168"/>
      <c r="D34" s="168"/>
      <c r="E34" s="168"/>
      <c r="F34" s="168"/>
      <c r="G34" s="168"/>
      <c r="H34" s="172"/>
      <c r="I34" s="168"/>
      <c r="J34" s="168"/>
      <c r="K34" s="168"/>
      <c r="L34" s="168"/>
      <c r="M34" s="168"/>
      <c r="N34" s="168"/>
      <c r="O34" s="168"/>
      <c r="P34" s="168"/>
    </row>
    <row r="35" spans="1:16" ht="17.25" x14ac:dyDescent="0.3">
      <c r="A35" s="171"/>
      <c r="B35" s="168"/>
      <c r="C35" s="168"/>
      <c r="D35" s="168"/>
      <c r="E35" s="168"/>
      <c r="F35" s="168"/>
      <c r="G35" s="168"/>
      <c r="H35" s="172"/>
      <c r="I35" s="168"/>
      <c r="J35" s="168"/>
      <c r="K35" s="168"/>
      <c r="L35" s="168"/>
      <c r="M35" s="168"/>
      <c r="N35" s="168"/>
      <c r="O35" s="168"/>
      <c r="P35" s="168"/>
    </row>
    <row r="36" spans="1:16" ht="17.25" x14ac:dyDescent="0.3">
      <c r="A36" s="171"/>
      <c r="B36" s="168"/>
      <c r="C36" s="168"/>
      <c r="D36" s="168"/>
      <c r="E36" s="168"/>
      <c r="F36" s="168"/>
      <c r="G36" s="168"/>
      <c r="H36" s="172"/>
      <c r="I36" s="168"/>
      <c r="J36" s="168"/>
      <c r="K36" s="168"/>
      <c r="L36" s="168"/>
      <c r="M36" s="168"/>
      <c r="N36" s="168"/>
      <c r="O36" s="168"/>
      <c r="P36" s="168"/>
    </row>
    <row r="37" spans="1:16" ht="17.25" x14ac:dyDescent="0.3">
      <c r="A37" s="171"/>
      <c r="B37" s="168"/>
      <c r="C37" s="168"/>
      <c r="D37" s="168"/>
      <c r="E37" s="168"/>
      <c r="F37" s="168"/>
      <c r="G37" s="168"/>
      <c r="H37" s="172"/>
      <c r="I37" s="168"/>
      <c r="J37" s="168"/>
      <c r="K37" s="168"/>
      <c r="L37" s="168"/>
      <c r="M37" s="168"/>
      <c r="N37" s="168"/>
      <c r="O37" s="168"/>
      <c r="P37" s="168"/>
    </row>
    <row r="38" spans="1:16" ht="17.25" x14ac:dyDescent="0.3">
      <c r="A38" s="171"/>
      <c r="B38" s="168"/>
      <c r="C38" s="168"/>
      <c r="D38" s="168"/>
      <c r="E38" s="168"/>
      <c r="F38" s="168"/>
      <c r="G38" s="168"/>
      <c r="H38" s="172"/>
      <c r="I38" s="168"/>
      <c r="J38" s="168"/>
      <c r="K38" s="168"/>
      <c r="L38" s="168"/>
      <c r="M38" s="168"/>
      <c r="N38" s="168"/>
      <c r="O38" s="168"/>
      <c r="P38" s="168"/>
    </row>
    <row r="39" spans="1:16" x14ac:dyDescent="0.2">
      <c r="A39" s="166"/>
      <c r="H39" s="144"/>
    </row>
    <row r="40" spans="1:16" x14ac:dyDescent="0.2">
      <c r="H40" s="144"/>
    </row>
    <row r="41" spans="1:16" x14ac:dyDescent="0.2">
      <c r="H41" s="144"/>
    </row>
    <row r="42" spans="1:16" x14ac:dyDescent="0.2">
      <c r="H42" s="144"/>
    </row>
    <row r="43" spans="1:16" x14ac:dyDescent="0.2">
      <c r="H43" s="144"/>
    </row>
    <row r="44" spans="1:16" x14ac:dyDescent="0.2">
      <c r="H44" s="144"/>
    </row>
    <row r="45" spans="1:16" x14ac:dyDescent="0.2">
      <c r="H45" s="144"/>
    </row>
    <row r="46" spans="1:16" x14ac:dyDescent="0.2">
      <c r="H46" s="144"/>
    </row>
    <row r="47" spans="1:16" x14ac:dyDescent="0.2">
      <c r="H47" s="144"/>
    </row>
    <row r="48" spans="1:16" x14ac:dyDescent="0.2">
      <c r="H48" s="144"/>
    </row>
    <row r="49" spans="8:8" x14ac:dyDescent="0.2">
      <c r="H49" s="144"/>
    </row>
    <row r="50" spans="8:8" x14ac:dyDescent="0.2">
      <c r="H50" s="144"/>
    </row>
    <row r="51" spans="8:8" x14ac:dyDescent="0.2">
      <c r="H51" s="144"/>
    </row>
    <row r="52" spans="8:8" x14ac:dyDescent="0.2">
      <c r="H52" s="144"/>
    </row>
    <row r="53" spans="8:8" x14ac:dyDescent="0.2">
      <c r="H53" s="144"/>
    </row>
    <row r="54" spans="8:8" x14ac:dyDescent="0.2">
      <c r="H54" s="144"/>
    </row>
    <row r="55" spans="8:8" x14ac:dyDescent="0.2">
      <c r="H55" s="144"/>
    </row>
    <row r="56" spans="8:8" x14ac:dyDescent="0.2">
      <c r="H56" s="144"/>
    </row>
    <row r="57" spans="8:8" x14ac:dyDescent="0.2">
      <c r="H57" s="144"/>
    </row>
    <row r="58" spans="8:8" x14ac:dyDescent="0.2">
      <c r="H58" s="144"/>
    </row>
    <row r="59" spans="8:8" x14ac:dyDescent="0.2">
      <c r="H59" s="144"/>
    </row>
    <row r="60" spans="8:8" x14ac:dyDescent="0.2">
      <c r="H60" s="144"/>
    </row>
    <row r="61" spans="8:8" x14ac:dyDescent="0.2">
      <c r="H61" s="144"/>
    </row>
    <row r="62" spans="8:8" x14ac:dyDescent="0.2">
      <c r="H62" s="144"/>
    </row>
    <row r="63" spans="8:8" x14ac:dyDescent="0.2">
      <c r="H63" s="144"/>
    </row>
    <row r="64" spans="8:8" x14ac:dyDescent="0.2">
      <c r="H64" s="144"/>
    </row>
    <row r="65" spans="8:8" x14ac:dyDescent="0.2">
      <c r="H65" s="144"/>
    </row>
    <row r="66" spans="8:8" x14ac:dyDescent="0.2">
      <c r="H66" s="144"/>
    </row>
    <row r="67" spans="8:8" x14ac:dyDescent="0.2">
      <c r="H67" s="144"/>
    </row>
    <row r="68" spans="8:8" x14ac:dyDescent="0.2">
      <c r="H68" s="144"/>
    </row>
    <row r="69" spans="8:8" x14ac:dyDescent="0.2">
      <c r="H69" s="144"/>
    </row>
    <row r="70" spans="8:8" x14ac:dyDescent="0.2">
      <c r="H70" s="144"/>
    </row>
    <row r="71" spans="8:8" x14ac:dyDescent="0.2">
      <c r="H71" s="144"/>
    </row>
    <row r="72" spans="8:8" x14ac:dyDescent="0.2">
      <c r="H72" s="144"/>
    </row>
    <row r="73" spans="8:8" x14ac:dyDescent="0.2">
      <c r="H73" s="144"/>
    </row>
    <row r="74" spans="8:8" x14ac:dyDescent="0.2">
      <c r="H74" s="144"/>
    </row>
    <row r="75" spans="8:8" x14ac:dyDescent="0.2">
      <c r="H75" s="144"/>
    </row>
    <row r="76" spans="8:8" x14ac:dyDescent="0.2">
      <c r="H76" s="144"/>
    </row>
    <row r="77" spans="8:8" x14ac:dyDescent="0.2">
      <c r="H77" s="144"/>
    </row>
    <row r="78" spans="8:8" x14ac:dyDescent="0.2">
      <c r="H78" s="144"/>
    </row>
    <row r="79" spans="8:8" x14ac:dyDescent="0.2">
      <c r="H79" s="144"/>
    </row>
    <row r="80" spans="8:8" x14ac:dyDescent="0.2">
      <c r="H80" s="144"/>
    </row>
    <row r="81" spans="8:8" x14ac:dyDescent="0.2">
      <c r="H81" s="144"/>
    </row>
    <row r="82" spans="8:8" x14ac:dyDescent="0.2">
      <c r="H82" s="144"/>
    </row>
    <row r="83" spans="8:8" x14ac:dyDescent="0.2">
      <c r="H83" s="144"/>
    </row>
    <row r="84" spans="8:8" x14ac:dyDescent="0.2">
      <c r="H84" s="144"/>
    </row>
    <row r="85" spans="8:8" x14ac:dyDescent="0.2">
      <c r="H85" s="144"/>
    </row>
    <row r="86" spans="8:8" x14ac:dyDescent="0.2">
      <c r="H86" s="144"/>
    </row>
    <row r="87" spans="8:8" x14ac:dyDescent="0.2">
      <c r="H87" s="144"/>
    </row>
    <row r="88" spans="8:8" x14ac:dyDescent="0.2">
      <c r="H88" s="144"/>
    </row>
    <row r="89" spans="8:8" x14ac:dyDescent="0.2">
      <c r="H89" s="144"/>
    </row>
    <row r="90" spans="8:8" x14ac:dyDescent="0.2">
      <c r="H90" s="144"/>
    </row>
    <row r="91" spans="8:8" x14ac:dyDescent="0.2">
      <c r="H91" s="144"/>
    </row>
    <row r="92" spans="8:8" x14ac:dyDescent="0.2">
      <c r="H92" s="144"/>
    </row>
    <row r="93" spans="8:8" x14ac:dyDescent="0.2">
      <c r="H93" s="144"/>
    </row>
    <row r="94" spans="8:8" x14ac:dyDescent="0.2">
      <c r="H94" s="144"/>
    </row>
    <row r="95" spans="8:8" x14ac:dyDescent="0.2">
      <c r="H95" s="144"/>
    </row>
    <row r="96" spans="8:8" x14ac:dyDescent="0.2">
      <c r="H96" s="144"/>
    </row>
    <row r="97" spans="8:8" x14ac:dyDescent="0.2">
      <c r="H97" s="144"/>
    </row>
    <row r="98" spans="8:8" x14ac:dyDescent="0.2">
      <c r="H98" s="144"/>
    </row>
    <row r="99" spans="8:8" x14ac:dyDescent="0.2">
      <c r="H99" s="144"/>
    </row>
    <row r="100" spans="8:8" x14ac:dyDescent="0.2">
      <c r="H100" s="144"/>
    </row>
    <row r="101" spans="8:8" x14ac:dyDescent="0.2">
      <c r="H101" s="144"/>
    </row>
    <row r="102" spans="8:8" x14ac:dyDescent="0.2">
      <c r="H102" s="144"/>
    </row>
    <row r="103" spans="8:8" x14ac:dyDescent="0.2">
      <c r="H103" s="144"/>
    </row>
    <row r="104" spans="8:8" x14ac:dyDescent="0.2">
      <c r="H104" s="144"/>
    </row>
    <row r="105" spans="8:8" x14ac:dyDescent="0.2">
      <c r="H105" s="144"/>
    </row>
    <row r="106" spans="8:8" x14ac:dyDescent="0.2">
      <c r="H106" s="144"/>
    </row>
    <row r="107" spans="8:8" x14ac:dyDescent="0.2">
      <c r="H107" s="144"/>
    </row>
    <row r="108" spans="8:8" x14ac:dyDescent="0.2">
      <c r="H108" s="144"/>
    </row>
    <row r="109" spans="8:8" x14ac:dyDescent="0.2">
      <c r="H109" s="144"/>
    </row>
    <row r="110" spans="8:8" x14ac:dyDescent="0.2">
      <c r="H110" s="144"/>
    </row>
    <row r="111" spans="8:8" x14ac:dyDescent="0.2">
      <c r="H111" s="144"/>
    </row>
    <row r="112" spans="8:8" x14ac:dyDescent="0.2">
      <c r="H112" s="144"/>
    </row>
    <row r="113" spans="8:8" x14ac:dyDescent="0.2">
      <c r="H113" s="144"/>
    </row>
    <row r="114" spans="8:8" x14ac:dyDescent="0.2">
      <c r="H114" s="144"/>
    </row>
    <row r="115" spans="8:8" x14ac:dyDescent="0.2">
      <c r="H115" s="144"/>
    </row>
    <row r="116" spans="8:8" x14ac:dyDescent="0.2">
      <c r="H116" s="144"/>
    </row>
    <row r="117" spans="8:8" x14ac:dyDescent="0.2">
      <c r="H117" s="144"/>
    </row>
    <row r="118" spans="8:8" x14ac:dyDescent="0.2">
      <c r="H118" s="144"/>
    </row>
    <row r="119" spans="8:8" x14ac:dyDescent="0.2">
      <c r="H119" s="144"/>
    </row>
    <row r="120" spans="8:8" x14ac:dyDescent="0.2">
      <c r="H120" s="144"/>
    </row>
    <row r="121" spans="8:8" x14ac:dyDescent="0.2">
      <c r="H121" s="144"/>
    </row>
    <row r="122" spans="8:8" x14ac:dyDescent="0.2">
      <c r="H122" s="144"/>
    </row>
    <row r="123" spans="8:8" x14ac:dyDescent="0.2">
      <c r="H123" s="144"/>
    </row>
    <row r="124" spans="8:8" x14ac:dyDescent="0.2">
      <c r="H124" s="144"/>
    </row>
    <row r="125" spans="8:8" x14ac:dyDescent="0.2">
      <c r="H125" s="144"/>
    </row>
    <row r="126" spans="8:8" x14ac:dyDescent="0.2">
      <c r="H126" s="144"/>
    </row>
    <row r="127" spans="8:8" x14ac:dyDescent="0.2">
      <c r="H127" s="144"/>
    </row>
    <row r="128" spans="8:8" x14ac:dyDescent="0.2">
      <c r="H128" s="144"/>
    </row>
    <row r="129" spans="8:8" x14ac:dyDescent="0.2">
      <c r="H129" s="144"/>
    </row>
    <row r="130" spans="8:8" x14ac:dyDescent="0.2">
      <c r="H130" s="144"/>
    </row>
    <row r="131" spans="8:8" x14ac:dyDescent="0.2">
      <c r="H131" s="144"/>
    </row>
    <row r="132" spans="8:8" x14ac:dyDescent="0.2">
      <c r="H132" s="144"/>
    </row>
    <row r="133" spans="8:8" x14ac:dyDescent="0.2">
      <c r="H133" s="144"/>
    </row>
    <row r="134" spans="8:8" x14ac:dyDescent="0.2">
      <c r="H134" s="144"/>
    </row>
    <row r="135" spans="8:8" x14ac:dyDescent="0.2">
      <c r="H135" s="144"/>
    </row>
    <row r="136" spans="8:8" x14ac:dyDescent="0.2">
      <c r="H136" s="144"/>
    </row>
    <row r="137" spans="8:8" x14ac:dyDescent="0.2">
      <c r="H137" s="144"/>
    </row>
    <row r="138" spans="8:8" x14ac:dyDescent="0.2">
      <c r="H138" s="144"/>
    </row>
    <row r="139" spans="8:8" x14ac:dyDescent="0.2">
      <c r="H139" s="144"/>
    </row>
    <row r="140" spans="8:8" x14ac:dyDescent="0.2">
      <c r="H140" s="144"/>
    </row>
    <row r="141" spans="8:8" x14ac:dyDescent="0.2">
      <c r="H141" s="144"/>
    </row>
    <row r="142" spans="8:8" x14ac:dyDescent="0.2">
      <c r="H142" s="144"/>
    </row>
    <row r="143" spans="8:8" x14ac:dyDescent="0.2">
      <c r="H143" s="144"/>
    </row>
    <row r="144" spans="8:8" x14ac:dyDescent="0.2">
      <c r="H144" s="144"/>
    </row>
    <row r="145" spans="8:8" x14ac:dyDescent="0.2">
      <c r="H145" s="144"/>
    </row>
    <row r="146" spans="8:8" x14ac:dyDescent="0.2">
      <c r="H146" s="144"/>
    </row>
    <row r="147" spans="8:8" x14ac:dyDescent="0.2">
      <c r="H147" s="144"/>
    </row>
    <row r="148" spans="8:8" x14ac:dyDescent="0.2">
      <c r="H148" s="144"/>
    </row>
    <row r="149" spans="8:8" x14ac:dyDescent="0.2">
      <c r="H149" s="144"/>
    </row>
    <row r="150" spans="8:8" x14ac:dyDescent="0.2">
      <c r="H150" s="144"/>
    </row>
    <row r="151" spans="8:8" x14ac:dyDescent="0.2">
      <c r="H151" s="144"/>
    </row>
    <row r="152" spans="8:8" x14ac:dyDescent="0.2">
      <c r="H152" s="144"/>
    </row>
    <row r="153" spans="8:8" x14ac:dyDescent="0.2">
      <c r="H153" s="144"/>
    </row>
    <row r="154" spans="8:8" x14ac:dyDescent="0.2">
      <c r="H154" s="144"/>
    </row>
    <row r="155" spans="8:8" x14ac:dyDescent="0.2">
      <c r="H155" s="144"/>
    </row>
    <row r="156" spans="8:8" x14ac:dyDescent="0.2">
      <c r="H156" s="144"/>
    </row>
    <row r="157" spans="8:8" x14ac:dyDescent="0.2">
      <c r="H157" s="144"/>
    </row>
    <row r="158" spans="8:8" x14ac:dyDescent="0.2">
      <c r="H158" s="144"/>
    </row>
    <row r="159" spans="8:8" x14ac:dyDescent="0.2">
      <c r="H159" s="144"/>
    </row>
    <row r="160" spans="8:8" x14ac:dyDescent="0.2">
      <c r="H160" s="144"/>
    </row>
    <row r="161" spans="8:8" x14ac:dyDescent="0.2">
      <c r="H161" s="144"/>
    </row>
    <row r="162" spans="8:8" x14ac:dyDescent="0.2">
      <c r="H162" s="144"/>
    </row>
    <row r="163" spans="8:8" x14ac:dyDescent="0.2">
      <c r="H163" s="144"/>
    </row>
    <row r="164" spans="8:8" x14ac:dyDescent="0.2">
      <c r="H164" s="144"/>
    </row>
    <row r="165" spans="8:8" x14ac:dyDescent="0.2">
      <c r="H165" s="144"/>
    </row>
    <row r="166" spans="8:8" x14ac:dyDescent="0.2">
      <c r="H166" s="144"/>
    </row>
    <row r="167" spans="8:8" x14ac:dyDescent="0.2">
      <c r="H167" s="144"/>
    </row>
    <row r="168" spans="8:8" x14ac:dyDescent="0.2">
      <c r="H168" s="144"/>
    </row>
    <row r="169" spans="8:8" x14ac:dyDescent="0.2">
      <c r="H169" s="144"/>
    </row>
    <row r="170" spans="8:8" x14ac:dyDescent="0.2">
      <c r="H170" s="144"/>
    </row>
    <row r="171" spans="8:8" x14ac:dyDescent="0.2">
      <c r="H171" s="144"/>
    </row>
    <row r="172" spans="8:8" x14ac:dyDescent="0.2">
      <c r="H172" s="144"/>
    </row>
    <row r="173" spans="8:8" x14ac:dyDescent="0.2">
      <c r="H173" s="144"/>
    </row>
    <row r="174" spans="8:8" x14ac:dyDescent="0.2">
      <c r="H174" s="144"/>
    </row>
    <row r="175" spans="8:8" x14ac:dyDescent="0.2">
      <c r="H175" s="144"/>
    </row>
    <row r="176" spans="8:8" x14ac:dyDescent="0.2">
      <c r="H176" s="144"/>
    </row>
    <row r="177" spans="8:8" x14ac:dyDescent="0.2">
      <c r="H177" s="144"/>
    </row>
    <row r="178" spans="8:8" x14ac:dyDescent="0.2">
      <c r="H178" s="144"/>
    </row>
    <row r="179" spans="8:8" x14ac:dyDescent="0.2">
      <c r="H179" s="144"/>
    </row>
    <row r="180" spans="8:8" x14ac:dyDescent="0.2">
      <c r="H180" s="144"/>
    </row>
    <row r="181" spans="8:8" x14ac:dyDescent="0.2">
      <c r="H181" s="144"/>
    </row>
    <row r="182" spans="8:8" x14ac:dyDescent="0.2">
      <c r="H182" s="144"/>
    </row>
    <row r="183" spans="8:8" x14ac:dyDescent="0.2">
      <c r="H183" s="144"/>
    </row>
    <row r="184" spans="8:8" x14ac:dyDescent="0.2">
      <c r="H184" s="144"/>
    </row>
    <row r="185" spans="8:8" x14ac:dyDescent="0.2">
      <c r="H185" s="144"/>
    </row>
    <row r="186" spans="8:8" x14ac:dyDescent="0.2">
      <c r="H186" s="144"/>
    </row>
    <row r="187" spans="8:8" x14ac:dyDescent="0.2">
      <c r="H187" s="144"/>
    </row>
    <row r="188" spans="8:8" x14ac:dyDescent="0.2">
      <c r="H188" s="144"/>
    </row>
    <row r="189" spans="8:8" x14ac:dyDescent="0.2">
      <c r="H189" s="144"/>
    </row>
    <row r="190" spans="8:8" x14ac:dyDescent="0.2">
      <c r="H190" s="144"/>
    </row>
    <row r="191" spans="8:8" x14ac:dyDescent="0.2">
      <c r="H191" s="144"/>
    </row>
    <row r="192" spans="8:8" x14ac:dyDescent="0.2">
      <c r="H192" s="144"/>
    </row>
    <row r="193" spans="8:8" x14ac:dyDescent="0.2">
      <c r="H193" s="144"/>
    </row>
    <row r="194" spans="8:8" x14ac:dyDescent="0.2">
      <c r="H194" s="144"/>
    </row>
    <row r="195" spans="8:8" x14ac:dyDescent="0.2">
      <c r="H195" s="144"/>
    </row>
    <row r="196" spans="8:8" x14ac:dyDescent="0.2">
      <c r="H196" s="144"/>
    </row>
    <row r="197" spans="8:8" x14ac:dyDescent="0.2">
      <c r="H197" s="144"/>
    </row>
    <row r="198" spans="8:8" x14ac:dyDescent="0.2">
      <c r="H198" s="144"/>
    </row>
    <row r="199" spans="8:8" x14ac:dyDescent="0.2">
      <c r="H199" s="144"/>
    </row>
    <row r="200" spans="8:8" x14ac:dyDescent="0.2">
      <c r="H200" s="144"/>
    </row>
    <row r="201" spans="8:8" x14ac:dyDescent="0.2">
      <c r="H201" s="144"/>
    </row>
    <row r="202" spans="8:8" x14ac:dyDescent="0.2">
      <c r="H202" s="144"/>
    </row>
    <row r="203" spans="8:8" x14ac:dyDescent="0.2">
      <c r="H203" s="144"/>
    </row>
    <row r="204" spans="8:8" x14ac:dyDescent="0.2">
      <c r="H204" s="144"/>
    </row>
    <row r="205" spans="8:8" x14ac:dyDescent="0.2">
      <c r="H205" s="144"/>
    </row>
    <row r="206" spans="8:8" x14ac:dyDescent="0.2">
      <c r="H206" s="144"/>
    </row>
    <row r="207" spans="8:8" x14ac:dyDescent="0.2">
      <c r="H207" s="144"/>
    </row>
    <row r="208" spans="8:8" x14ac:dyDescent="0.2">
      <c r="H208" s="144"/>
    </row>
    <row r="209" spans="8:8" x14ac:dyDescent="0.2">
      <c r="H209" s="144"/>
    </row>
    <row r="210" spans="8:8" x14ac:dyDescent="0.2">
      <c r="H210" s="144"/>
    </row>
    <row r="211" spans="8:8" x14ac:dyDescent="0.2">
      <c r="H211" s="144"/>
    </row>
    <row r="212" spans="8:8" x14ac:dyDescent="0.2">
      <c r="H212" s="144"/>
    </row>
    <row r="213" spans="8:8" x14ac:dyDescent="0.2">
      <c r="H213" s="144"/>
    </row>
    <row r="214" spans="8:8" x14ac:dyDescent="0.2">
      <c r="H214" s="144"/>
    </row>
    <row r="215" spans="8:8" x14ac:dyDescent="0.2">
      <c r="H215" s="144"/>
    </row>
    <row r="216" spans="8:8" x14ac:dyDescent="0.2">
      <c r="H216" s="144"/>
    </row>
    <row r="217" spans="8:8" x14ac:dyDescent="0.2">
      <c r="H217" s="144"/>
    </row>
    <row r="218" spans="8:8" x14ac:dyDescent="0.2">
      <c r="H218" s="144"/>
    </row>
    <row r="219" spans="8:8" x14ac:dyDescent="0.2">
      <c r="H219" s="144"/>
    </row>
    <row r="220" spans="8:8" x14ac:dyDescent="0.2">
      <c r="H220" s="144"/>
    </row>
    <row r="221" spans="8:8" x14ac:dyDescent="0.2">
      <c r="H221" s="144"/>
    </row>
    <row r="222" spans="8:8" x14ac:dyDescent="0.2">
      <c r="H222" s="144"/>
    </row>
    <row r="223" spans="8:8" x14ac:dyDescent="0.2">
      <c r="H223" s="144"/>
    </row>
    <row r="224" spans="8:8" x14ac:dyDescent="0.2">
      <c r="H224" s="144"/>
    </row>
    <row r="225" spans="8:8" x14ac:dyDescent="0.2">
      <c r="H225" s="144"/>
    </row>
    <row r="226" spans="8:8" x14ac:dyDescent="0.2">
      <c r="H226" s="144"/>
    </row>
    <row r="227" spans="8:8" x14ac:dyDescent="0.2">
      <c r="H227" s="144"/>
    </row>
    <row r="228" spans="8:8" x14ac:dyDescent="0.2">
      <c r="H228" s="144"/>
    </row>
    <row r="229" spans="8:8" x14ac:dyDescent="0.2">
      <c r="H229" s="144"/>
    </row>
    <row r="230" spans="8:8" x14ac:dyDescent="0.2">
      <c r="H230" s="144"/>
    </row>
    <row r="231" spans="8:8" x14ac:dyDescent="0.2">
      <c r="H231" s="144"/>
    </row>
    <row r="232" spans="8:8" x14ac:dyDescent="0.2">
      <c r="H232" s="144"/>
    </row>
    <row r="233" spans="8:8" x14ac:dyDescent="0.2">
      <c r="H233" s="144"/>
    </row>
    <row r="234" spans="8:8" x14ac:dyDescent="0.2">
      <c r="H234" s="144"/>
    </row>
    <row r="235" spans="8:8" x14ac:dyDescent="0.2">
      <c r="H235" s="144"/>
    </row>
    <row r="236" spans="8:8" x14ac:dyDescent="0.2">
      <c r="H236" s="144"/>
    </row>
    <row r="237" spans="8:8" x14ac:dyDescent="0.2">
      <c r="H237" s="144"/>
    </row>
    <row r="238" spans="8:8" x14ac:dyDescent="0.2">
      <c r="H238" s="144"/>
    </row>
    <row r="239" spans="8:8" x14ac:dyDescent="0.2">
      <c r="H239" s="144"/>
    </row>
    <row r="240" spans="8:8" x14ac:dyDescent="0.2">
      <c r="H240" s="144"/>
    </row>
    <row r="241" spans="8:8" x14ac:dyDescent="0.2">
      <c r="H241" s="144"/>
    </row>
    <row r="242" spans="8:8" x14ac:dyDescent="0.2">
      <c r="H242" s="144"/>
    </row>
    <row r="243" spans="8:8" x14ac:dyDescent="0.2">
      <c r="H243" s="144"/>
    </row>
    <row r="244" spans="8:8" x14ac:dyDescent="0.2">
      <c r="H244" s="144"/>
    </row>
    <row r="245" spans="8:8" x14ac:dyDescent="0.2">
      <c r="H245" s="144"/>
    </row>
    <row r="246" spans="8:8" x14ac:dyDescent="0.2">
      <c r="H246" s="144"/>
    </row>
    <row r="247" spans="8:8" x14ac:dyDescent="0.2">
      <c r="H247" s="144"/>
    </row>
    <row r="248" spans="8:8" x14ac:dyDescent="0.2">
      <c r="H248" s="144"/>
    </row>
    <row r="249" spans="8:8" x14ac:dyDescent="0.2">
      <c r="H249" s="144"/>
    </row>
    <row r="250" spans="8:8" x14ac:dyDescent="0.2">
      <c r="H250" s="144"/>
    </row>
    <row r="251" spans="8:8" x14ac:dyDescent="0.2">
      <c r="H251" s="144"/>
    </row>
    <row r="252" spans="8:8" x14ac:dyDescent="0.2">
      <c r="H252" s="144"/>
    </row>
    <row r="253" spans="8:8" x14ac:dyDescent="0.2">
      <c r="H253" s="144"/>
    </row>
    <row r="254" spans="8:8" x14ac:dyDescent="0.2">
      <c r="H254" s="144"/>
    </row>
    <row r="255" spans="8:8" x14ac:dyDescent="0.2">
      <c r="H255" s="144"/>
    </row>
    <row r="256" spans="8:8" x14ac:dyDescent="0.2">
      <c r="H256" s="144"/>
    </row>
    <row r="257" spans="8:8" x14ac:dyDescent="0.2">
      <c r="H257" s="144"/>
    </row>
    <row r="258" spans="8:8" x14ac:dyDescent="0.2">
      <c r="H258" s="144"/>
    </row>
    <row r="259" spans="8:8" x14ac:dyDescent="0.2">
      <c r="H259" s="144"/>
    </row>
    <row r="260" spans="8:8" x14ac:dyDescent="0.2">
      <c r="H260" s="144"/>
    </row>
    <row r="261" spans="8:8" x14ac:dyDescent="0.2">
      <c r="H261" s="144"/>
    </row>
    <row r="262" spans="8:8" x14ac:dyDescent="0.2">
      <c r="H262" s="144"/>
    </row>
    <row r="263" spans="8:8" x14ac:dyDescent="0.2">
      <c r="H263" s="144"/>
    </row>
    <row r="264" spans="8:8" x14ac:dyDescent="0.2">
      <c r="H264" s="144"/>
    </row>
    <row r="265" spans="8:8" x14ac:dyDescent="0.2">
      <c r="H265" s="144"/>
    </row>
    <row r="266" spans="8:8" x14ac:dyDescent="0.2">
      <c r="H266" s="144"/>
    </row>
    <row r="267" spans="8:8" x14ac:dyDescent="0.2">
      <c r="H267" s="144"/>
    </row>
    <row r="268" spans="8:8" x14ac:dyDescent="0.2">
      <c r="H268" s="144"/>
    </row>
    <row r="269" spans="8:8" x14ac:dyDescent="0.2">
      <c r="H269" s="144"/>
    </row>
    <row r="270" spans="8:8" x14ac:dyDescent="0.2">
      <c r="H270" s="144"/>
    </row>
    <row r="271" spans="8:8" x14ac:dyDescent="0.2">
      <c r="H271" s="144"/>
    </row>
    <row r="272" spans="8:8" x14ac:dyDescent="0.2">
      <c r="H272" s="144"/>
    </row>
    <row r="273" spans="8:8" x14ac:dyDescent="0.2">
      <c r="H273" s="144"/>
    </row>
    <row r="274" spans="8:8" x14ac:dyDescent="0.2">
      <c r="H274" s="144"/>
    </row>
    <row r="275" spans="8:8" x14ac:dyDescent="0.2">
      <c r="H275" s="144"/>
    </row>
    <row r="276" spans="8:8" x14ac:dyDescent="0.2">
      <c r="H276" s="144"/>
    </row>
    <row r="277" spans="8:8" x14ac:dyDescent="0.2">
      <c r="H277" s="144"/>
    </row>
    <row r="278" spans="8:8" x14ac:dyDescent="0.2">
      <c r="H278" s="144"/>
    </row>
    <row r="279" spans="8:8" x14ac:dyDescent="0.2">
      <c r="H279" s="144"/>
    </row>
    <row r="280" spans="8:8" x14ac:dyDescent="0.2">
      <c r="H280" s="144"/>
    </row>
    <row r="281" spans="8:8" x14ac:dyDescent="0.2">
      <c r="H281" s="144"/>
    </row>
    <row r="282" spans="8:8" x14ac:dyDescent="0.2">
      <c r="H282" s="144"/>
    </row>
    <row r="283" spans="8:8" x14ac:dyDescent="0.2">
      <c r="H283" s="144"/>
    </row>
    <row r="284" spans="8:8" x14ac:dyDescent="0.2">
      <c r="H284" s="144"/>
    </row>
    <row r="285" spans="8:8" x14ac:dyDescent="0.2">
      <c r="H285" s="144"/>
    </row>
    <row r="286" spans="8:8" x14ac:dyDescent="0.2">
      <c r="H286" s="144"/>
    </row>
    <row r="287" spans="8:8" x14ac:dyDescent="0.2">
      <c r="H287" s="144"/>
    </row>
    <row r="288" spans="8:8" x14ac:dyDescent="0.2">
      <c r="H288" s="144"/>
    </row>
    <row r="289" spans="8:8" x14ac:dyDescent="0.2">
      <c r="H289" s="144"/>
    </row>
    <row r="290" spans="8:8" x14ac:dyDescent="0.2">
      <c r="H290" s="144"/>
    </row>
    <row r="291" spans="8:8" x14ac:dyDescent="0.2">
      <c r="H291" s="144"/>
    </row>
    <row r="292" spans="8:8" x14ac:dyDescent="0.2">
      <c r="H292" s="144"/>
    </row>
    <row r="293" spans="8:8" x14ac:dyDescent="0.2">
      <c r="H293" s="144"/>
    </row>
    <row r="294" spans="8:8" x14ac:dyDescent="0.2">
      <c r="H294" s="144"/>
    </row>
    <row r="295" spans="8:8" x14ac:dyDescent="0.2">
      <c r="H295" s="144"/>
    </row>
    <row r="296" spans="8:8" x14ac:dyDescent="0.2">
      <c r="H296" s="144"/>
    </row>
    <row r="297" spans="8:8" x14ac:dyDescent="0.2">
      <c r="H297" s="144"/>
    </row>
    <row r="298" spans="8:8" x14ac:dyDescent="0.2">
      <c r="H298" s="144"/>
    </row>
    <row r="299" spans="8:8" x14ac:dyDescent="0.2">
      <c r="H299" s="144"/>
    </row>
    <row r="300" spans="8:8" x14ac:dyDescent="0.2">
      <c r="H300" s="144"/>
    </row>
    <row r="301" spans="8:8" x14ac:dyDescent="0.2">
      <c r="H301" s="144"/>
    </row>
    <row r="302" spans="8:8" x14ac:dyDescent="0.2">
      <c r="H302" s="144"/>
    </row>
    <row r="303" spans="8:8" x14ac:dyDescent="0.2">
      <c r="H303" s="144"/>
    </row>
    <row r="304" spans="8:8" x14ac:dyDescent="0.2">
      <c r="H304" s="144"/>
    </row>
    <row r="305" spans="8:8" x14ac:dyDescent="0.2">
      <c r="H305" s="144"/>
    </row>
    <row r="306" spans="8:8" x14ac:dyDescent="0.2">
      <c r="H306" s="144"/>
    </row>
    <row r="307" spans="8:8" x14ac:dyDescent="0.2">
      <c r="H307" s="144"/>
    </row>
    <row r="308" spans="8:8" x14ac:dyDescent="0.2">
      <c r="H308" s="144"/>
    </row>
    <row r="309" spans="8:8" x14ac:dyDescent="0.2">
      <c r="H309" s="144"/>
    </row>
    <row r="310" spans="8:8" x14ac:dyDescent="0.2">
      <c r="H310" s="144"/>
    </row>
    <row r="311" spans="8:8" x14ac:dyDescent="0.2">
      <c r="H311" s="144"/>
    </row>
    <row r="312" spans="8:8" x14ac:dyDescent="0.2">
      <c r="H312" s="144"/>
    </row>
    <row r="313" spans="8:8" x14ac:dyDescent="0.2">
      <c r="H313" s="144"/>
    </row>
    <row r="314" spans="8:8" x14ac:dyDescent="0.2">
      <c r="H314" s="144"/>
    </row>
    <row r="315" spans="8:8" x14ac:dyDescent="0.2">
      <c r="H315" s="144"/>
    </row>
    <row r="316" spans="8:8" x14ac:dyDescent="0.2">
      <c r="H316" s="144"/>
    </row>
    <row r="317" spans="8:8" x14ac:dyDescent="0.2">
      <c r="H317" s="144"/>
    </row>
    <row r="318" spans="8:8" x14ac:dyDescent="0.2">
      <c r="H318" s="144"/>
    </row>
    <row r="319" spans="8:8" x14ac:dyDescent="0.2">
      <c r="H319" s="144"/>
    </row>
    <row r="320" spans="8:8" x14ac:dyDescent="0.2">
      <c r="H320" s="144"/>
    </row>
    <row r="321" spans="8:8" x14ac:dyDescent="0.2">
      <c r="H321" s="144"/>
    </row>
    <row r="322" spans="8:8" x14ac:dyDescent="0.2">
      <c r="H322" s="144"/>
    </row>
    <row r="323" spans="8:8" x14ac:dyDescent="0.2">
      <c r="H323" s="144"/>
    </row>
    <row r="324" spans="8:8" x14ac:dyDescent="0.2">
      <c r="H324" s="144"/>
    </row>
    <row r="325" spans="8:8" x14ac:dyDescent="0.2">
      <c r="H325" s="144"/>
    </row>
    <row r="326" spans="8:8" x14ac:dyDescent="0.2">
      <c r="H326" s="144"/>
    </row>
    <row r="327" spans="8:8" x14ac:dyDescent="0.2">
      <c r="H327" s="144"/>
    </row>
    <row r="328" spans="8:8" x14ac:dyDescent="0.2">
      <c r="H328" s="144"/>
    </row>
    <row r="329" spans="8:8" x14ac:dyDescent="0.2">
      <c r="H329" s="144"/>
    </row>
    <row r="330" spans="8:8" x14ac:dyDescent="0.2">
      <c r="H330" s="144"/>
    </row>
    <row r="331" spans="8:8" x14ac:dyDescent="0.2">
      <c r="H331" s="144"/>
    </row>
    <row r="332" spans="8:8" x14ac:dyDescent="0.2">
      <c r="H332" s="144"/>
    </row>
    <row r="333" spans="8:8" x14ac:dyDescent="0.2">
      <c r="H333" s="144"/>
    </row>
    <row r="334" spans="8:8" x14ac:dyDescent="0.2">
      <c r="H334" s="144"/>
    </row>
    <row r="335" spans="8:8" x14ac:dyDescent="0.2">
      <c r="H335" s="144"/>
    </row>
    <row r="336" spans="8:8" x14ac:dyDescent="0.2">
      <c r="H336" s="144"/>
    </row>
    <row r="337" spans="8:8" x14ac:dyDescent="0.2">
      <c r="H337" s="144"/>
    </row>
    <row r="338" spans="8:8" x14ac:dyDescent="0.2">
      <c r="H338" s="144"/>
    </row>
    <row r="339" spans="8:8" x14ac:dyDescent="0.2">
      <c r="H339" s="144"/>
    </row>
    <row r="340" spans="8:8" x14ac:dyDescent="0.2">
      <c r="H340" s="144"/>
    </row>
    <row r="341" spans="8:8" x14ac:dyDescent="0.2">
      <c r="H341" s="144"/>
    </row>
    <row r="342" spans="8:8" x14ac:dyDescent="0.2">
      <c r="H342" s="144"/>
    </row>
    <row r="343" spans="8:8" x14ac:dyDescent="0.2">
      <c r="H343" s="144"/>
    </row>
    <row r="344" spans="8:8" x14ac:dyDescent="0.2">
      <c r="H344" s="144"/>
    </row>
    <row r="345" spans="8:8" x14ac:dyDescent="0.2">
      <c r="H345" s="144"/>
    </row>
    <row r="346" spans="8:8" x14ac:dyDescent="0.2">
      <c r="H346" s="144"/>
    </row>
    <row r="347" spans="8:8" x14ac:dyDescent="0.2">
      <c r="H347" s="144"/>
    </row>
    <row r="348" spans="8:8" x14ac:dyDescent="0.2">
      <c r="H348" s="144"/>
    </row>
    <row r="349" spans="8:8" x14ac:dyDescent="0.2">
      <c r="H349" s="144"/>
    </row>
    <row r="350" spans="8:8" x14ac:dyDescent="0.2">
      <c r="H350" s="144"/>
    </row>
    <row r="351" spans="8:8" x14ac:dyDescent="0.2">
      <c r="H351" s="144"/>
    </row>
    <row r="352" spans="8:8" x14ac:dyDescent="0.2">
      <c r="H352" s="144"/>
    </row>
    <row r="353" spans="8:8" x14ac:dyDescent="0.2">
      <c r="H353" s="144"/>
    </row>
    <row r="354" spans="8:8" x14ac:dyDescent="0.2">
      <c r="H354" s="144"/>
    </row>
    <row r="355" spans="8:8" x14ac:dyDescent="0.2">
      <c r="H355" s="144"/>
    </row>
    <row r="356" spans="8:8" x14ac:dyDescent="0.2">
      <c r="H356" s="144"/>
    </row>
    <row r="357" spans="8:8" x14ac:dyDescent="0.2">
      <c r="H357" s="144"/>
    </row>
    <row r="358" spans="8:8" x14ac:dyDescent="0.2">
      <c r="H358" s="144"/>
    </row>
    <row r="359" spans="8:8" x14ac:dyDescent="0.2">
      <c r="H359" s="144"/>
    </row>
    <row r="360" spans="8:8" x14ac:dyDescent="0.2">
      <c r="H360" s="144"/>
    </row>
    <row r="361" spans="8:8" x14ac:dyDescent="0.2">
      <c r="H361" s="144"/>
    </row>
    <row r="362" spans="8:8" x14ac:dyDescent="0.2">
      <c r="H362" s="144"/>
    </row>
    <row r="363" spans="8:8" x14ac:dyDescent="0.2">
      <c r="H363" s="144"/>
    </row>
    <row r="364" spans="8:8" x14ac:dyDescent="0.2">
      <c r="H364" s="144"/>
    </row>
    <row r="365" spans="8:8" x14ac:dyDescent="0.2">
      <c r="H365" s="144"/>
    </row>
    <row r="366" spans="8:8" x14ac:dyDescent="0.2">
      <c r="H366" s="144"/>
    </row>
    <row r="367" spans="8:8" x14ac:dyDescent="0.2">
      <c r="H367" s="144"/>
    </row>
    <row r="368" spans="8:8" x14ac:dyDescent="0.2">
      <c r="H368" s="144"/>
    </row>
    <row r="369" spans="8:8" x14ac:dyDescent="0.2">
      <c r="H369" s="144"/>
    </row>
    <row r="370" spans="8:8" x14ac:dyDescent="0.2">
      <c r="H370" s="144"/>
    </row>
    <row r="371" spans="8:8" x14ac:dyDescent="0.2">
      <c r="H371" s="144"/>
    </row>
    <row r="372" spans="8:8" x14ac:dyDescent="0.2">
      <c r="H372" s="144"/>
    </row>
    <row r="373" spans="8:8" x14ac:dyDescent="0.2">
      <c r="H373" s="144"/>
    </row>
    <row r="374" spans="8:8" x14ac:dyDescent="0.2">
      <c r="H374" s="144"/>
    </row>
    <row r="375" spans="8:8" x14ac:dyDescent="0.2">
      <c r="H375" s="144"/>
    </row>
    <row r="376" spans="8:8" x14ac:dyDescent="0.2">
      <c r="H376" s="144"/>
    </row>
    <row r="377" spans="8:8" x14ac:dyDescent="0.2">
      <c r="H377" s="144"/>
    </row>
    <row r="378" spans="8:8" x14ac:dyDescent="0.2">
      <c r="H378" s="144"/>
    </row>
    <row r="379" spans="8:8" x14ac:dyDescent="0.2">
      <c r="H379" s="144"/>
    </row>
    <row r="380" spans="8:8" x14ac:dyDescent="0.2">
      <c r="H380" s="144"/>
    </row>
    <row r="381" spans="8:8" x14ac:dyDescent="0.2">
      <c r="H381" s="144"/>
    </row>
    <row r="382" spans="8:8" x14ac:dyDescent="0.2">
      <c r="H382" s="144"/>
    </row>
    <row r="383" spans="8:8" x14ac:dyDescent="0.2">
      <c r="H383" s="144"/>
    </row>
    <row r="384" spans="8:8" x14ac:dyDescent="0.2">
      <c r="H384" s="144"/>
    </row>
    <row r="385" spans="8:8" x14ac:dyDescent="0.2">
      <c r="H385" s="144"/>
    </row>
    <row r="386" spans="8:8" x14ac:dyDescent="0.2">
      <c r="H386" s="144"/>
    </row>
    <row r="387" spans="8:8" x14ac:dyDescent="0.2">
      <c r="H387" s="144"/>
    </row>
    <row r="388" spans="8:8" x14ac:dyDescent="0.2">
      <c r="H388" s="144"/>
    </row>
    <row r="389" spans="8:8" x14ac:dyDescent="0.2">
      <c r="H389" s="144"/>
    </row>
    <row r="390" spans="8:8" x14ac:dyDescent="0.2">
      <c r="H390" s="144"/>
    </row>
    <row r="391" spans="8:8" x14ac:dyDescent="0.2">
      <c r="H391" s="144"/>
    </row>
    <row r="392" spans="8:8" x14ac:dyDescent="0.2">
      <c r="H392" s="144"/>
    </row>
    <row r="393" spans="8:8" x14ac:dyDescent="0.2">
      <c r="H393" s="144"/>
    </row>
    <row r="394" spans="8:8" x14ac:dyDescent="0.2">
      <c r="H394" s="144"/>
    </row>
    <row r="395" spans="8:8" x14ac:dyDescent="0.2">
      <c r="H395" s="144"/>
    </row>
    <row r="396" spans="8:8" x14ac:dyDescent="0.2">
      <c r="H396" s="144"/>
    </row>
    <row r="397" spans="8:8" x14ac:dyDescent="0.2">
      <c r="H397" s="144"/>
    </row>
    <row r="398" spans="8:8" x14ac:dyDescent="0.2">
      <c r="H398" s="144"/>
    </row>
    <row r="399" spans="8:8" x14ac:dyDescent="0.2">
      <c r="H399" s="144"/>
    </row>
    <row r="400" spans="8:8" x14ac:dyDescent="0.2">
      <c r="H400" s="144"/>
    </row>
    <row r="401" spans="8:8" x14ac:dyDescent="0.2">
      <c r="H401" s="144"/>
    </row>
    <row r="402" spans="8:8" x14ac:dyDescent="0.2">
      <c r="H402" s="144"/>
    </row>
    <row r="403" spans="8:8" x14ac:dyDescent="0.2">
      <c r="H403" s="144"/>
    </row>
    <row r="404" spans="8:8" x14ac:dyDescent="0.2">
      <c r="H404" s="144"/>
    </row>
    <row r="405" spans="8:8" x14ac:dyDescent="0.2">
      <c r="H405" s="144"/>
    </row>
    <row r="406" spans="8:8" x14ac:dyDescent="0.2">
      <c r="H406" s="144"/>
    </row>
    <row r="407" spans="8:8" x14ac:dyDescent="0.2">
      <c r="H407" s="144"/>
    </row>
    <row r="408" spans="8:8" x14ac:dyDescent="0.2">
      <c r="H408" s="144"/>
    </row>
    <row r="409" spans="8:8" x14ac:dyDescent="0.2">
      <c r="H409" s="144"/>
    </row>
    <row r="410" spans="8:8" x14ac:dyDescent="0.2">
      <c r="H410" s="144"/>
    </row>
    <row r="411" spans="8:8" x14ac:dyDescent="0.2">
      <c r="H411" s="144"/>
    </row>
    <row r="412" spans="8:8" x14ac:dyDescent="0.2">
      <c r="H412" s="144"/>
    </row>
    <row r="413" spans="8:8" x14ac:dyDescent="0.2">
      <c r="H413" s="144"/>
    </row>
    <row r="414" spans="8:8" x14ac:dyDescent="0.2">
      <c r="H414" s="144"/>
    </row>
    <row r="415" spans="8:8" x14ac:dyDescent="0.2">
      <c r="H415" s="144"/>
    </row>
    <row r="416" spans="8:8" x14ac:dyDescent="0.2">
      <c r="H416" s="144"/>
    </row>
    <row r="417" spans="8:8" x14ac:dyDescent="0.2">
      <c r="H417" s="144"/>
    </row>
    <row r="418" spans="8:8" x14ac:dyDescent="0.2">
      <c r="H418" s="144"/>
    </row>
    <row r="419" spans="8:8" x14ac:dyDescent="0.2">
      <c r="H419" s="144"/>
    </row>
    <row r="420" spans="8:8" x14ac:dyDescent="0.2">
      <c r="H420" s="144"/>
    </row>
    <row r="421" spans="8:8" x14ac:dyDescent="0.2">
      <c r="H421" s="144"/>
    </row>
    <row r="422" spans="8:8" x14ac:dyDescent="0.2">
      <c r="H422" s="144"/>
    </row>
    <row r="423" spans="8:8" x14ac:dyDescent="0.2">
      <c r="H423" s="144"/>
    </row>
    <row r="424" spans="8:8" x14ac:dyDescent="0.2">
      <c r="H424" s="144"/>
    </row>
    <row r="425" spans="8:8" x14ac:dyDescent="0.2">
      <c r="H425" s="144"/>
    </row>
    <row r="426" spans="8:8" x14ac:dyDescent="0.2">
      <c r="H426" s="144"/>
    </row>
    <row r="427" spans="8:8" x14ac:dyDescent="0.2">
      <c r="H427" s="144"/>
    </row>
    <row r="428" spans="8:8" x14ac:dyDescent="0.2">
      <c r="H428" s="144"/>
    </row>
    <row r="429" spans="8:8" x14ac:dyDescent="0.2">
      <c r="H429" s="144"/>
    </row>
    <row r="430" spans="8:8" x14ac:dyDescent="0.2">
      <c r="H430" s="144"/>
    </row>
    <row r="431" spans="8:8" x14ac:dyDescent="0.2">
      <c r="H431" s="144"/>
    </row>
    <row r="432" spans="8:8" x14ac:dyDescent="0.2">
      <c r="H432" s="144"/>
    </row>
    <row r="433" spans="8:8" x14ac:dyDescent="0.2">
      <c r="H433" s="144"/>
    </row>
    <row r="434" spans="8:8" x14ac:dyDescent="0.2">
      <c r="H434" s="144"/>
    </row>
    <row r="435" spans="8:8" x14ac:dyDescent="0.2">
      <c r="H435" s="144"/>
    </row>
    <row r="436" spans="8:8" x14ac:dyDescent="0.2">
      <c r="H436" s="144"/>
    </row>
    <row r="437" spans="8:8" x14ac:dyDescent="0.2">
      <c r="H437" s="144"/>
    </row>
    <row r="438" spans="8:8" x14ac:dyDescent="0.2">
      <c r="H438" s="144"/>
    </row>
    <row r="439" spans="8:8" x14ac:dyDescent="0.2">
      <c r="H439" s="144"/>
    </row>
    <row r="440" spans="8:8" x14ac:dyDescent="0.2">
      <c r="H440" s="144"/>
    </row>
    <row r="441" spans="8:8" x14ac:dyDescent="0.2">
      <c r="H441" s="144"/>
    </row>
    <row r="442" spans="8:8" x14ac:dyDescent="0.2">
      <c r="H442" s="144"/>
    </row>
    <row r="443" spans="8:8" x14ac:dyDescent="0.2">
      <c r="H443" s="144"/>
    </row>
    <row r="444" spans="8:8" x14ac:dyDescent="0.2">
      <c r="H444" s="144"/>
    </row>
    <row r="445" spans="8:8" x14ac:dyDescent="0.2">
      <c r="H445" s="144"/>
    </row>
    <row r="446" spans="8:8" x14ac:dyDescent="0.2">
      <c r="H446" s="144"/>
    </row>
    <row r="447" spans="8:8" x14ac:dyDescent="0.2">
      <c r="H447" s="144"/>
    </row>
    <row r="448" spans="8:8" x14ac:dyDescent="0.2">
      <c r="H448" s="144"/>
    </row>
    <row r="449" spans="8:8" x14ac:dyDescent="0.2">
      <c r="H449" s="144"/>
    </row>
    <row r="450" spans="8:8" x14ac:dyDescent="0.2">
      <c r="H450" s="144"/>
    </row>
    <row r="451" spans="8:8" x14ac:dyDescent="0.2">
      <c r="H451" s="144"/>
    </row>
    <row r="452" spans="8:8" x14ac:dyDescent="0.2">
      <c r="H452" s="144"/>
    </row>
    <row r="453" spans="8:8" x14ac:dyDescent="0.2">
      <c r="H453" s="144"/>
    </row>
    <row r="454" spans="8:8" x14ac:dyDescent="0.2">
      <c r="H454" s="144"/>
    </row>
    <row r="455" spans="8:8" x14ac:dyDescent="0.2">
      <c r="H455" s="144"/>
    </row>
    <row r="456" spans="8:8" x14ac:dyDescent="0.2">
      <c r="H456" s="144"/>
    </row>
    <row r="457" spans="8:8" x14ac:dyDescent="0.2">
      <c r="H457" s="144"/>
    </row>
    <row r="458" spans="8:8" x14ac:dyDescent="0.2">
      <c r="H458" s="144"/>
    </row>
    <row r="459" spans="8:8" x14ac:dyDescent="0.2">
      <c r="H459" s="144"/>
    </row>
    <row r="460" spans="8:8" x14ac:dyDescent="0.2">
      <c r="H460" s="144"/>
    </row>
    <row r="461" spans="8:8" x14ac:dyDescent="0.2">
      <c r="H461" s="144"/>
    </row>
    <row r="462" spans="8:8" x14ac:dyDescent="0.2">
      <c r="H462" s="144"/>
    </row>
    <row r="463" spans="8:8" x14ac:dyDescent="0.2">
      <c r="H463" s="144"/>
    </row>
    <row r="464" spans="8:8" x14ac:dyDescent="0.2">
      <c r="H464" s="144"/>
    </row>
    <row r="465" spans="8:8" x14ac:dyDescent="0.2">
      <c r="H465" s="144"/>
    </row>
    <row r="466" spans="8:8" x14ac:dyDescent="0.2">
      <c r="H466" s="144"/>
    </row>
    <row r="467" spans="8:8" x14ac:dyDescent="0.2">
      <c r="H467" s="144"/>
    </row>
    <row r="468" spans="8:8" x14ac:dyDescent="0.2">
      <c r="H468" s="144"/>
    </row>
    <row r="469" spans="8:8" x14ac:dyDescent="0.2">
      <c r="H469" s="144"/>
    </row>
    <row r="470" spans="8:8" x14ac:dyDescent="0.2">
      <c r="H470" s="144"/>
    </row>
    <row r="471" spans="8:8" x14ac:dyDescent="0.2">
      <c r="H471" s="144"/>
    </row>
    <row r="472" spans="8:8" x14ac:dyDescent="0.2">
      <c r="H472" s="144"/>
    </row>
    <row r="473" spans="8:8" x14ac:dyDescent="0.2">
      <c r="H473" s="144"/>
    </row>
    <row r="474" spans="8:8" x14ac:dyDescent="0.2">
      <c r="H474" s="144"/>
    </row>
    <row r="475" spans="8:8" x14ac:dyDescent="0.2">
      <c r="H475" s="144"/>
    </row>
    <row r="476" spans="8:8" x14ac:dyDescent="0.2">
      <c r="H476" s="144"/>
    </row>
    <row r="477" spans="8:8" x14ac:dyDescent="0.2">
      <c r="H477" s="144"/>
    </row>
    <row r="478" spans="8:8" x14ac:dyDescent="0.2">
      <c r="H478" s="144"/>
    </row>
    <row r="479" spans="8:8" x14ac:dyDescent="0.2">
      <c r="H479" s="144"/>
    </row>
    <row r="480" spans="8:8" x14ac:dyDescent="0.2">
      <c r="H480" s="144"/>
    </row>
    <row r="481" spans="8:8" x14ac:dyDescent="0.2">
      <c r="H481" s="144"/>
    </row>
    <row r="482" spans="8:8" x14ac:dyDescent="0.2">
      <c r="H482" s="144"/>
    </row>
    <row r="483" spans="8:8" x14ac:dyDescent="0.2">
      <c r="H483" s="144"/>
    </row>
    <row r="484" spans="8:8" x14ac:dyDescent="0.2">
      <c r="H484" s="144"/>
    </row>
    <row r="485" spans="8:8" x14ac:dyDescent="0.2">
      <c r="H485" s="144"/>
    </row>
    <row r="486" spans="8:8" x14ac:dyDescent="0.2">
      <c r="H486" s="144"/>
    </row>
    <row r="487" spans="8:8" x14ac:dyDescent="0.2">
      <c r="H487" s="144"/>
    </row>
    <row r="488" spans="8:8" x14ac:dyDescent="0.2">
      <c r="H488" s="144"/>
    </row>
    <row r="489" spans="8:8" x14ac:dyDescent="0.2">
      <c r="H489" s="144"/>
    </row>
    <row r="490" spans="8:8" x14ac:dyDescent="0.2">
      <c r="H490" s="144"/>
    </row>
    <row r="491" spans="8:8" x14ac:dyDescent="0.2">
      <c r="H491" s="144"/>
    </row>
    <row r="492" spans="8:8" x14ac:dyDescent="0.2">
      <c r="H492" s="144"/>
    </row>
    <row r="493" spans="8:8" x14ac:dyDescent="0.2">
      <c r="H493" s="144"/>
    </row>
    <row r="494" spans="8:8" x14ac:dyDescent="0.2">
      <c r="H494" s="144"/>
    </row>
    <row r="495" spans="8:8" x14ac:dyDescent="0.2">
      <c r="H495" s="144"/>
    </row>
    <row r="496" spans="8:8" x14ac:dyDescent="0.2">
      <c r="H496" s="144"/>
    </row>
    <row r="497" spans="8:8" x14ac:dyDescent="0.2">
      <c r="H497" s="144"/>
    </row>
    <row r="498" spans="8:8" x14ac:dyDescent="0.2">
      <c r="H498" s="144"/>
    </row>
    <row r="499" spans="8:8" x14ac:dyDescent="0.2">
      <c r="H499" s="144"/>
    </row>
    <row r="500" spans="8:8" x14ac:dyDescent="0.2">
      <c r="H500" s="144"/>
    </row>
    <row r="501" spans="8:8" x14ac:dyDescent="0.2">
      <c r="H501" s="144"/>
    </row>
    <row r="502" spans="8:8" x14ac:dyDescent="0.2">
      <c r="H502" s="144"/>
    </row>
    <row r="503" spans="8:8" x14ac:dyDescent="0.2">
      <c r="H503" s="144"/>
    </row>
    <row r="504" spans="8:8" x14ac:dyDescent="0.2">
      <c r="H504" s="144"/>
    </row>
    <row r="505" spans="8:8" x14ac:dyDescent="0.2">
      <c r="H505" s="144"/>
    </row>
    <row r="506" spans="8:8" x14ac:dyDescent="0.2">
      <c r="H506" s="144"/>
    </row>
    <row r="507" spans="8:8" x14ac:dyDescent="0.2">
      <c r="H507" s="144"/>
    </row>
    <row r="508" spans="8:8" x14ac:dyDescent="0.2">
      <c r="H508" s="144"/>
    </row>
    <row r="509" spans="8:8" x14ac:dyDescent="0.2">
      <c r="H509" s="144"/>
    </row>
    <row r="510" spans="8:8" x14ac:dyDescent="0.2">
      <c r="H510" s="144"/>
    </row>
    <row r="511" spans="8:8" x14ac:dyDescent="0.2">
      <c r="H511" s="144"/>
    </row>
    <row r="512" spans="8:8" x14ac:dyDescent="0.2">
      <c r="H512" s="144"/>
    </row>
    <row r="513" spans="8:8" x14ac:dyDescent="0.2">
      <c r="H513" s="144"/>
    </row>
    <row r="514" spans="8:8" x14ac:dyDescent="0.2">
      <c r="H514" s="144"/>
    </row>
    <row r="515" spans="8:8" x14ac:dyDescent="0.2">
      <c r="H515" s="144"/>
    </row>
    <row r="516" spans="8:8" x14ac:dyDescent="0.2">
      <c r="H516" s="144"/>
    </row>
    <row r="517" spans="8:8" x14ac:dyDescent="0.2">
      <c r="H517" s="144"/>
    </row>
    <row r="518" spans="8:8" x14ac:dyDescent="0.2">
      <c r="H518" s="144"/>
    </row>
    <row r="519" spans="8:8" x14ac:dyDescent="0.2">
      <c r="H519" s="144"/>
    </row>
    <row r="520" spans="8:8" x14ac:dyDescent="0.2">
      <c r="H520" s="144"/>
    </row>
    <row r="521" spans="8:8" x14ac:dyDescent="0.2">
      <c r="H521" s="144"/>
    </row>
    <row r="522" spans="8:8" x14ac:dyDescent="0.2">
      <c r="H522" s="144"/>
    </row>
    <row r="523" spans="8:8" x14ac:dyDescent="0.2">
      <c r="H523" s="144"/>
    </row>
    <row r="524" spans="8:8" x14ac:dyDescent="0.2">
      <c r="H524" s="144"/>
    </row>
    <row r="525" spans="8:8" x14ac:dyDescent="0.2">
      <c r="H525" s="144"/>
    </row>
    <row r="526" spans="8:8" x14ac:dyDescent="0.2">
      <c r="H526" s="144"/>
    </row>
    <row r="527" spans="8:8" x14ac:dyDescent="0.2">
      <c r="H527" s="144"/>
    </row>
    <row r="528" spans="8:8" x14ac:dyDescent="0.2">
      <c r="H528" s="144"/>
    </row>
    <row r="529" spans="8:8" x14ac:dyDescent="0.2">
      <c r="H529" s="144"/>
    </row>
    <row r="530" spans="8:8" x14ac:dyDescent="0.2">
      <c r="H530" s="144"/>
    </row>
    <row r="531" spans="8:8" x14ac:dyDescent="0.2">
      <c r="H531" s="144"/>
    </row>
    <row r="532" spans="8:8" x14ac:dyDescent="0.2">
      <c r="H532" s="144"/>
    </row>
    <row r="533" spans="8:8" x14ac:dyDescent="0.2">
      <c r="H533" s="144"/>
    </row>
    <row r="534" spans="8:8" x14ac:dyDescent="0.2">
      <c r="H534" s="144"/>
    </row>
    <row r="535" spans="8:8" x14ac:dyDescent="0.2">
      <c r="H535" s="144"/>
    </row>
    <row r="536" spans="8:8" x14ac:dyDescent="0.2">
      <c r="H536" s="144"/>
    </row>
    <row r="537" spans="8:8" x14ac:dyDescent="0.2">
      <c r="H537" s="144"/>
    </row>
    <row r="538" spans="8:8" x14ac:dyDescent="0.2">
      <c r="H538" s="144"/>
    </row>
    <row r="539" spans="8:8" x14ac:dyDescent="0.2">
      <c r="H539" s="144"/>
    </row>
    <row r="540" spans="8:8" x14ac:dyDescent="0.2">
      <c r="H540" s="144"/>
    </row>
    <row r="541" spans="8:8" x14ac:dyDescent="0.2">
      <c r="H541" s="144"/>
    </row>
    <row r="542" spans="8:8" x14ac:dyDescent="0.2">
      <c r="H542" s="144"/>
    </row>
    <row r="543" spans="8:8" x14ac:dyDescent="0.2">
      <c r="H543" s="144"/>
    </row>
    <row r="544" spans="8:8" x14ac:dyDescent="0.2">
      <c r="H544" s="144"/>
    </row>
    <row r="545" spans="8:8" x14ac:dyDescent="0.2">
      <c r="H545" s="144"/>
    </row>
    <row r="546" spans="8:8" x14ac:dyDescent="0.2">
      <c r="H546" s="144"/>
    </row>
    <row r="547" spans="8:8" x14ac:dyDescent="0.2">
      <c r="H547" s="144"/>
    </row>
    <row r="548" spans="8:8" x14ac:dyDescent="0.2">
      <c r="H548" s="144"/>
    </row>
    <row r="549" spans="8:8" x14ac:dyDescent="0.2">
      <c r="H549" s="144"/>
    </row>
    <row r="550" spans="8:8" x14ac:dyDescent="0.2">
      <c r="H550" s="144"/>
    </row>
    <row r="551" spans="8:8" x14ac:dyDescent="0.2">
      <c r="H551" s="144"/>
    </row>
    <row r="552" spans="8:8" x14ac:dyDescent="0.2">
      <c r="H552" s="144"/>
    </row>
    <row r="553" spans="8:8" x14ac:dyDescent="0.2">
      <c r="H553" s="144"/>
    </row>
    <row r="554" spans="8:8" x14ac:dyDescent="0.2">
      <c r="H554" s="144"/>
    </row>
    <row r="555" spans="8:8" x14ac:dyDescent="0.2">
      <c r="H555" s="144"/>
    </row>
    <row r="556" spans="8:8" x14ac:dyDescent="0.2">
      <c r="H556" s="144"/>
    </row>
    <row r="557" spans="8:8" x14ac:dyDescent="0.2">
      <c r="H557" s="144"/>
    </row>
    <row r="558" spans="8:8" x14ac:dyDescent="0.2">
      <c r="H558" s="144"/>
    </row>
    <row r="559" spans="8:8" x14ac:dyDescent="0.2">
      <c r="H559" s="144"/>
    </row>
    <row r="560" spans="8:8" x14ac:dyDescent="0.2">
      <c r="H560" s="144"/>
    </row>
    <row r="561" spans="8:8" x14ac:dyDescent="0.2">
      <c r="H561" s="144"/>
    </row>
    <row r="562" spans="8:8" x14ac:dyDescent="0.2">
      <c r="H562" s="144"/>
    </row>
    <row r="563" spans="8:8" x14ac:dyDescent="0.2">
      <c r="H563" s="144"/>
    </row>
    <row r="564" spans="8:8" x14ac:dyDescent="0.2">
      <c r="H564" s="144"/>
    </row>
    <row r="565" spans="8:8" x14ac:dyDescent="0.2">
      <c r="H565" s="144"/>
    </row>
    <row r="566" spans="8:8" x14ac:dyDescent="0.2">
      <c r="H566" s="144"/>
    </row>
    <row r="567" spans="8:8" x14ac:dyDescent="0.2">
      <c r="H567" s="144"/>
    </row>
    <row r="568" spans="8:8" x14ac:dyDescent="0.2">
      <c r="H568" s="144"/>
    </row>
    <row r="569" spans="8:8" x14ac:dyDescent="0.2">
      <c r="H569" s="144"/>
    </row>
    <row r="570" spans="8:8" x14ac:dyDescent="0.2">
      <c r="H570" s="144"/>
    </row>
    <row r="571" spans="8:8" x14ac:dyDescent="0.2">
      <c r="H571" s="144"/>
    </row>
    <row r="572" spans="8:8" x14ac:dyDescent="0.2">
      <c r="H572" s="144"/>
    </row>
    <row r="573" spans="8:8" x14ac:dyDescent="0.2">
      <c r="H573" s="144"/>
    </row>
    <row r="574" spans="8:8" x14ac:dyDescent="0.2">
      <c r="H574" s="144"/>
    </row>
    <row r="575" spans="8:8" x14ac:dyDescent="0.2">
      <c r="H575" s="144"/>
    </row>
    <row r="576" spans="8:8" x14ac:dyDescent="0.2">
      <c r="H576" s="144"/>
    </row>
    <row r="577" spans="8:8" x14ac:dyDescent="0.2">
      <c r="H577" s="144"/>
    </row>
    <row r="578" spans="8:8" x14ac:dyDescent="0.2">
      <c r="H578" s="144"/>
    </row>
    <row r="579" spans="8:8" x14ac:dyDescent="0.2">
      <c r="H579" s="144"/>
    </row>
    <row r="580" spans="8:8" x14ac:dyDescent="0.2">
      <c r="H580" s="144"/>
    </row>
    <row r="581" spans="8:8" x14ac:dyDescent="0.2">
      <c r="H581" s="144"/>
    </row>
    <row r="582" spans="8:8" x14ac:dyDescent="0.2">
      <c r="H582" s="144"/>
    </row>
    <row r="583" spans="8:8" x14ac:dyDescent="0.2">
      <c r="H583" s="144"/>
    </row>
    <row r="584" spans="8:8" x14ac:dyDescent="0.2">
      <c r="H584" s="144"/>
    </row>
    <row r="585" spans="8:8" x14ac:dyDescent="0.2">
      <c r="H585" s="144"/>
    </row>
    <row r="586" spans="8:8" x14ac:dyDescent="0.2">
      <c r="H586" s="144"/>
    </row>
    <row r="587" spans="8:8" x14ac:dyDescent="0.2">
      <c r="H587" s="144"/>
    </row>
    <row r="588" spans="8:8" x14ac:dyDescent="0.2">
      <c r="H588" s="144"/>
    </row>
    <row r="589" spans="8:8" x14ac:dyDescent="0.2">
      <c r="H589" s="144"/>
    </row>
    <row r="590" spans="8:8" x14ac:dyDescent="0.2">
      <c r="H590" s="144"/>
    </row>
    <row r="591" spans="8:8" x14ac:dyDescent="0.2">
      <c r="H591" s="144"/>
    </row>
    <row r="592" spans="8:8" x14ac:dyDescent="0.2">
      <c r="H592" s="6"/>
    </row>
    <row r="593" spans="8:8" x14ac:dyDescent="0.2">
      <c r="H593" s="6"/>
    </row>
    <row r="594" spans="8:8" x14ac:dyDescent="0.2">
      <c r="H594" s="6"/>
    </row>
    <row r="595" spans="8:8" x14ac:dyDescent="0.2">
      <c r="H595" s="6"/>
    </row>
    <row r="596" spans="8:8" x14ac:dyDescent="0.2">
      <c r="H596" s="6"/>
    </row>
    <row r="597" spans="8:8" x14ac:dyDescent="0.2">
      <c r="H597" s="6"/>
    </row>
    <row r="598" spans="8:8" x14ac:dyDescent="0.2">
      <c r="H598" s="6"/>
    </row>
    <row r="599" spans="8:8" x14ac:dyDescent="0.2">
      <c r="H599" s="6"/>
    </row>
    <row r="600" spans="8:8" x14ac:dyDescent="0.2">
      <c r="H600" s="6"/>
    </row>
    <row r="601" spans="8:8" x14ac:dyDescent="0.2">
      <c r="H601" s="6"/>
    </row>
    <row r="602" spans="8:8" x14ac:dyDescent="0.2">
      <c r="H602" s="6"/>
    </row>
    <row r="603" spans="8:8" x14ac:dyDescent="0.2">
      <c r="H603" s="6"/>
    </row>
    <row r="604" spans="8:8" x14ac:dyDescent="0.2">
      <c r="H604" s="6"/>
    </row>
    <row r="605" spans="8:8" x14ac:dyDescent="0.2">
      <c r="H605" s="6"/>
    </row>
    <row r="606" spans="8:8" x14ac:dyDescent="0.2">
      <c r="H606" s="6"/>
    </row>
    <row r="607" spans="8:8" x14ac:dyDescent="0.2">
      <c r="H607" s="6"/>
    </row>
    <row r="608" spans="8:8" x14ac:dyDescent="0.2">
      <c r="H608" s="6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7"/>
  <sheetViews>
    <sheetView showGridLines="0" tabSelected="1" topLeftCell="A25" zoomScale="84" zoomScaleNormal="84" workbookViewId="0">
      <selection activeCell="D49" sqref="D49"/>
    </sheetView>
  </sheetViews>
  <sheetFormatPr defaultRowHeight="15" x14ac:dyDescent="0.2"/>
  <cols>
    <col min="1" max="1" width="2.85546875" style="94" customWidth="1"/>
    <col min="2" max="2" width="43.28515625" style="95" customWidth="1"/>
    <col min="3" max="3" width="12" style="89" customWidth="1"/>
    <col min="4" max="4" width="115.140625" style="89" customWidth="1"/>
    <col min="5" max="5" width="2.42578125" style="96" hidden="1" customWidth="1"/>
    <col min="6" max="6" width="9.140625" style="94" customWidth="1"/>
    <col min="7" max="16384" width="9.140625" style="4"/>
  </cols>
  <sheetData>
    <row r="1" spans="1:6" ht="15.75" thickTop="1" x14ac:dyDescent="0.2">
      <c r="A1" s="808"/>
      <c r="B1" s="809"/>
      <c r="C1" s="803"/>
      <c r="D1" s="804"/>
      <c r="E1" s="609"/>
    </row>
    <row r="2" spans="1:6" ht="30.75" x14ac:dyDescent="0.2">
      <c r="A2" s="810"/>
      <c r="B2" s="684" t="s">
        <v>377</v>
      </c>
      <c r="C2" s="684"/>
      <c r="D2" s="685"/>
      <c r="E2" s="610"/>
    </row>
    <row r="3" spans="1:6" ht="18" thickBot="1" x14ac:dyDescent="0.25">
      <c r="A3" s="810"/>
      <c r="B3" s="415"/>
      <c r="C3" s="497"/>
      <c r="D3" s="646" t="s">
        <v>384</v>
      </c>
      <c r="E3" s="610"/>
    </row>
    <row r="4" spans="1:6" ht="18" thickBot="1" x14ac:dyDescent="0.25">
      <c r="A4" s="810"/>
      <c r="B4" s="611" t="s">
        <v>385</v>
      </c>
      <c r="C4" s="802"/>
      <c r="D4" s="612" t="s">
        <v>117</v>
      </c>
      <c r="E4" s="610"/>
    </row>
    <row r="5" spans="1:6" ht="18" customHeight="1" thickTop="1" x14ac:dyDescent="0.2">
      <c r="A5" s="810"/>
      <c r="B5" s="366" t="s">
        <v>375</v>
      </c>
      <c r="C5" s="613"/>
      <c r="D5" s="614" t="s">
        <v>372</v>
      </c>
      <c r="E5" s="610"/>
    </row>
    <row r="6" spans="1:6" ht="18" customHeight="1" x14ac:dyDescent="0.2">
      <c r="A6" s="810"/>
      <c r="B6" s="367" t="s">
        <v>376</v>
      </c>
      <c r="C6" s="613"/>
      <c r="D6" s="615" t="s">
        <v>373</v>
      </c>
      <c r="E6" s="610"/>
    </row>
    <row r="7" spans="1:6" s="18" customFormat="1" ht="34.5" x14ac:dyDescent="0.2">
      <c r="A7" s="643"/>
      <c r="B7" s="368" t="s">
        <v>386</v>
      </c>
      <c r="C7" s="613"/>
      <c r="D7" s="615" t="s">
        <v>393</v>
      </c>
      <c r="E7" s="616"/>
      <c r="F7" s="95"/>
    </row>
    <row r="8" spans="1:6" s="18" customFormat="1" ht="18" customHeight="1" x14ac:dyDescent="0.2">
      <c r="A8" s="643"/>
      <c r="B8" s="369">
        <v>40556</v>
      </c>
      <c r="C8" s="613"/>
      <c r="D8" s="615" t="s">
        <v>374</v>
      </c>
      <c r="E8" s="616"/>
      <c r="F8" s="95"/>
    </row>
    <row r="9" spans="1:6" s="18" customFormat="1" ht="35.25" thickBot="1" x14ac:dyDescent="0.25">
      <c r="A9" s="643"/>
      <c r="B9" s="370">
        <v>40614</v>
      </c>
      <c r="C9" s="617"/>
      <c r="D9" s="618" t="s">
        <v>383</v>
      </c>
      <c r="E9" s="616"/>
      <c r="F9" s="95"/>
    </row>
    <row r="10" spans="1:6" s="22" customFormat="1" ht="18" thickBot="1" x14ac:dyDescent="0.3">
      <c r="A10" s="811"/>
      <c r="B10" s="611" t="s">
        <v>68</v>
      </c>
      <c r="C10" s="805"/>
      <c r="D10" s="612" t="s">
        <v>117</v>
      </c>
      <c r="E10" s="619"/>
      <c r="F10" s="97"/>
    </row>
    <row r="11" spans="1:6" s="22" customFormat="1" ht="15" customHeight="1" thickTop="1" x14ac:dyDescent="0.25">
      <c r="A11" s="811"/>
      <c r="B11" s="620" t="s">
        <v>241</v>
      </c>
      <c r="C11" s="357" t="s">
        <v>319</v>
      </c>
      <c r="D11" s="622" t="s">
        <v>378</v>
      </c>
      <c r="E11" s="619"/>
      <c r="F11" s="97"/>
    </row>
    <row r="12" spans="1:6" ht="17.25" x14ac:dyDescent="0.2">
      <c r="A12" s="810"/>
      <c r="B12" s="623" t="s">
        <v>389</v>
      </c>
      <c r="C12" s="357">
        <v>33.799999999999997</v>
      </c>
      <c r="D12" s="624" t="s">
        <v>144</v>
      </c>
      <c r="E12" s="625"/>
    </row>
    <row r="13" spans="1:6" ht="17.25" x14ac:dyDescent="0.2">
      <c r="A13" s="810"/>
      <c r="B13" s="623" t="s">
        <v>391</v>
      </c>
      <c r="C13" s="357">
        <v>146.19999999999999</v>
      </c>
      <c r="D13" s="624" t="s">
        <v>145</v>
      </c>
      <c r="E13" s="625"/>
    </row>
    <row r="14" spans="1:6" ht="17.25" x14ac:dyDescent="0.2">
      <c r="A14" s="810"/>
      <c r="B14" s="623" t="s">
        <v>392</v>
      </c>
      <c r="C14" s="357">
        <v>46.2</v>
      </c>
      <c r="D14" s="624" t="s">
        <v>387</v>
      </c>
      <c r="E14" s="625"/>
    </row>
    <row r="15" spans="1:6" ht="34.5" x14ac:dyDescent="0.2">
      <c r="A15" s="810"/>
      <c r="B15" s="623" t="s">
        <v>65</v>
      </c>
      <c r="C15" s="621">
        <v>1</v>
      </c>
      <c r="D15" s="624" t="s">
        <v>320</v>
      </c>
      <c r="E15" s="625"/>
    </row>
    <row r="16" spans="1:6" ht="17.25" x14ac:dyDescent="0.2">
      <c r="A16" s="810"/>
      <c r="B16" s="623" t="s">
        <v>390</v>
      </c>
      <c r="C16" s="356">
        <f>C12*C15</f>
        <v>33.799999999999997</v>
      </c>
      <c r="D16" s="624" t="s">
        <v>141</v>
      </c>
      <c r="E16" s="626"/>
    </row>
    <row r="17" spans="1:6" ht="18" thickBot="1" x14ac:dyDescent="0.25">
      <c r="A17" s="810"/>
      <c r="B17" s="627" t="s">
        <v>388</v>
      </c>
      <c r="C17" s="628">
        <f>C13*C15</f>
        <v>146.19999999999999</v>
      </c>
      <c r="D17" s="629" t="s">
        <v>394</v>
      </c>
      <c r="E17" s="626"/>
    </row>
    <row r="18" spans="1:6" s="22" customFormat="1" ht="18" thickBot="1" x14ac:dyDescent="0.3">
      <c r="A18" s="811"/>
      <c r="B18" s="611" t="s">
        <v>235</v>
      </c>
      <c r="C18" s="805"/>
      <c r="D18" s="612" t="s">
        <v>117</v>
      </c>
      <c r="E18" s="619"/>
      <c r="F18" s="97"/>
    </row>
    <row r="19" spans="1:6" ht="35.25" thickTop="1" x14ac:dyDescent="0.2">
      <c r="A19" s="810"/>
      <c r="B19" s="623" t="s">
        <v>346</v>
      </c>
      <c r="C19" s="357">
        <v>30.5</v>
      </c>
      <c r="D19" s="624" t="s">
        <v>395</v>
      </c>
      <c r="E19" s="610"/>
    </row>
    <row r="20" spans="1:6" ht="17.25" x14ac:dyDescent="0.2">
      <c r="A20" s="810"/>
      <c r="B20" s="623" t="s">
        <v>93</v>
      </c>
      <c r="C20" s="641">
        <f>C16*C19</f>
        <v>1030.8999999999999</v>
      </c>
      <c r="D20" s="624" t="s">
        <v>335</v>
      </c>
      <c r="E20" s="610"/>
    </row>
    <row r="21" spans="1:6" ht="17.25" x14ac:dyDescent="0.2">
      <c r="A21" s="810"/>
      <c r="B21" s="623" t="s">
        <v>321</v>
      </c>
      <c r="C21" s="357">
        <v>2271.5</v>
      </c>
      <c r="D21" s="624" t="s">
        <v>323</v>
      </c>
      <c r="E21" s="610"/>
    </row>
    <row r="22" spans="1:6" ht="17.25" x14ac:dyDescent="0.2">
      <c r="A22" s="810"/>
      <c r="B22" s="623" t="s">
        <v>334</v>
      </c>
      <c r="C22" s="358">
        <v>44.35</v>
      </c>
      <c r="D22" s="624" t="s">
        <v>324</v>
      </c>
      <c r="E22" s="610"/>
    </row>
    <row r="23" spans="1:6" ht="17.25" x14ac:dyDescent="0.2">
      <c r="A23" s="810"/>
      <c r="B23" s="623" t="s">
        <v>69</v>
      </c>
      <c r="C23" s="359">
        <v>0.74219999999999997</v>
      </c>
      <c r="D23" s="631" t="s">
        <v>325</v>
      </c>
      <c r="E23" s="610"/>
    </row>
    <row r="24" spans="1:6" ht="17.25" x14ac:dyDescent="0.2">
      <c r="A24" s="810"/>
      <c r="B24" s="623" t="s">
        <v>70</v>
      </c>
      <c r="C24" s="359">
        <v>0.13930000000000001</v>
      </c>
      <c r="D24" s="632" t="s">
        <v>326</v>
      </c>
      <c r="E24" s="610"/>
    </row>
    <row r="25" spans="1:6" ht="17.25" x14ac:dyDescent="0.2">
      <c r="A25" s="810"/>
      <c r="B25" s="623" t="s">
        <v>338</v>
      </c>
      <c r="C25" s="360">
        <v>0</v>
      </c>
      <c r="D25" s="632" t="s">
        <v>339</v>
      </c>
      <c r="E25" s="610"/>
    </row>
    <row r="26" spans="1:6" ht="17.25" x14ac:dyDescent="0.2">
      <c r="A26" s="810"/>
      <c r="B26" s="623" t="s">
        <v>340</v>
      </c>
      <c r="C26" s="360">
        <v>0</v>
      </c>
      <c r="D26" s="632" t="s">
        <v>341</v>
      </c>
      <c r="E26" s="610"/>
    </row>
    <row r="27" spans="1:6" ht="17.25" x14ac:dyDescent="0.2">
      <c r="A27" s="810"/>
      <c r="B27" s="367" t="s">
        <v>228</v>
      </c>
      <c r="C27" s="630"/>
      <c r="D27" s="632" t="s">
        <v>350</v>
      </c>
      <c r="E27" s="610"/>
    </row>
    <row r="28" spans="1:6" ht="18.75" customHeight="1" x14ac:dyDescent="0.2">
      <c r="A28" s="810"/>
      <c r="B28" s="367" t="s">
        <v>230</v>
      </c>
      <c r="C28" s="630"/>
      <c r="D28" s="632" t="s">
        <v>379</v>
      </c>
      <c r="E28" s="610"/>
    </row>
    <row r="29" spans="1:6" ht="17.25" x14ac:dyDescent="0.2">
      <c r="A29" s="810"/>
      <c r="B29" s="623" t="s">
        <v>112</v>
      </c>
      <c r="C29" s="361">
        <f>IF(B27="Enclosed Smokeless Combustor",98%,IF(B27="Utility Flare or Other 98% DRE Device",98%,IF(B27="Ground Pit Flare",90%,IF(B27="Vapor Recovery Unit or Oil Stabilizer",99%,IF(B27="Engineered Flare w/99% DRE",99%,IF(B27="Combustor w/99.5% DRE",99.5%,IF(B27="Connected to sales line",100%)))))))</f>
        <v>0.99</v>
      </c>
      <c r="D29" s="631" t="s">
        <v>142</v>
      </c>
      <c r="E29" s="610"/>
    </row>
    <row r="30" spans="1:6" ht="17.25" x14ac:dyDescent="0.2">
      <c r="A30" s="810"/>
      <c r="B30" s="623" t="s">
        <v>233</v>
      </c>
      <c r="C30" s="148">
        <v>43832</v>
      </c>
      <c r="D30" s="632" t="s">
        <v>380</v>
      </c>
      <c r="E30" s="610"/>
    </row>
    <row r="31" spans="1:6" ht="18" thickBot="1" x14ac:dyDescent="0.35">
      <c r="A31" s="810"/>
      <c r="B31" s="633" t="s">
        <v>232</v>
      </c>
      <c r="C31" s="148" t="s">
        <v>329</v>
      </c>
      <c r="D31" s="634" t="s">
        <v>381</v>
      </c>
      <c r="E31" s="610"/>
    </row>
    <row r="32" spans="1:6" s="22" customFormat="1" ht="18" thickBot="1" x14ac:dyDescent="0.3">
      <c r="A32" s="811"/>
      <c r="B32" s="611" t="s">
        <v>71</v>
      </c>
      <c r="C32" s="805"/>
      <c r="D32" s="612" t="s">
        <v>117</v>
      </c>
      <c r="E32" s="619"/>
      <c r="F32" s="97"/>
    </row>
    <row r="33" spans="1:6" ht="18" thickTop="1" x14ac:dyDescent="0.2">
      <c r="A33" s="810"/>
      <c r="B33" s="620" t="s">
        <v>321</v>
      </c>
      <c r="C33" s="357">
        <v>2271.5</v>
      </c>
      <c r="D33" s="622" t="s">
        <v>322</v>
      </c>
      <c r="E33" s="610"/>
    </row>
    <row r="34" spans="1:6" ht="17.25" x14ac:dyDescent="0.2">
      <c r="A34" s="810"/>
      <c r="B34" s="623" t="s">
        <v>334</v>
      </c>
      <c r="C34" s="358">
        <v>44.35</v>
      </c>
      <c r="D34" s="624" t="s">
        <v>172</v>
      </c>
      <c r="E34" s="610"/>
    </row>
    <row r="35" spans="1:6" ht="17.25" x14ac:dyDescent="0.2">
      <c r="A35" s="810"/>
      <c r="B35" s="623" t="s">
        <v>69</v>
      </c>
      <c r="C35" s="359">
        <v>0.74219999999999997</v>
      </c>
      <c r="D35" s="631" t="s">
        <v>215</v>
      </c>
      <c r="E35" s="610"/>
    </row>
    <row r="36" spans="1:6" ht="17.25" x14ac:dyDescent="0.2">
      <c r="A36" s="810"/>
      <c r="B36" s="623" t="s">
        <v>70</v>
      </c>
      <c r="C36" s="359">
        <v>0.13930000000000001</v>
      </c>
      <c r="D36" s="632" t="s">
        <v>216</v>
      </c>
      <c r="E36" s="610"/>
    </row>
    <row r="37" spans="1:6" ht="17.25" x14ac:dyDescent="0.2">
      <c r="A37" s="810"/>
      <c r="B37" s="623" t="s">
        <v>338</v>
      </c>
      <c r="C37" s="360">
        <v>0</v>
      </c>
      <c r="D37" s="632" t="s">
        <v>342</v>
      </c>
      <c r="E37" s="610"/>
    </row>
    <row r="38" spans="1:6" ht="17.25" x14ac:dyDescent="0.2">
      <c r="A38" s="810"/>
      <c r="B38" s="623" t="s">
        <v>340</v>
      </c>
      <c r="C38" s="360">
        <v>0</v>
      </c>
      <c r="D38" s="632" t="s">
        <v>343</v>
      </c>
      <c r="E38" s="610"/>
    </row>
    <row r="39" spans="1:6" ht="17.25" x14ac:dyDescent="0.2">
      <c r="A39" s="810"/>
      <c r="B39" s="367" t="s">
        <v>228</v>
      </c>
      <c r="C39" s="630"/>
      <c r="D39" s="632" t="s">
        <v>115</v>
      </c>
      <c r="E39" s="610"/>
    </row>
    <row r="40" spans="1:6" ht="18.75" customHeight="1" x14ac:dyDescent="0.2">
      <c r="A40" s="810"/>
      <c r="B40" s="367" t="s">
        <v>229</v>
      </c>
      <c r="C40" s="630"/>
      <c r="D40" s="632" t="s">
        <v>379</v>
      </c>
      <c r="E40" s="610"/>
    </row>
    <row r="41" spans="1:6" ht="17.25" x14ac:dyDescent="0.2">
      <c r="A41" s="810"/>
      <c r="B41" s="623" t="s">
        <v>112</v>
      </c>
      <c r="C41" s="361">
        <f>IF(B39="Enclosed Smokeless Combustor",98%,IF(B39="Utility Flare or Other 98% DRE Device",98%,IF(B39="Ground Pit Flare",90%,IF(B39="Vapor Recovery Unit or Oil Stabilizer",99%,IF(B39="Engineered Flare w/99% DRE",99%,IF(B39="Combustor w/99.5% DRE",99.5%,IF(B39="Connected to sales line",100%)))))))</f>
        <v>0.99</v>
      </c>
      <c r="D41" s="631" t="s">
        <v>142</v>
      </c>
      <c r="E41" s="610"/>
    </row>
    <row r="42" spans="1:6" ht="17.25" x14ac:dyDescent="0.2">
      <c r="A42" s="810"/>
      <c r="B42" s="623" t="s">
        <v>233</v>
      </c>
      <c r="C42" s="148">
        <v>43832</v>
      </c>
      <c r="D42" s="632" t="s">
        <v>380</v>
      </c>
      <c r="E42" s="610"/>
    </row>
    <row r="43" spans="1:6" ht="18" thickBot="1" x14ac:dyDescent="0.35">
      <c r="A43" s="810"/>
      <c r="B43" s="633" t="s">
        <v>232</v>
      </c>
      <c r="C43" s="148" t="s">
        <v>329</v>
      </c>
      <c r="D43" s="634" t="s">
        <v>381</v>
      </c>
      <c r="E43" s="610"/>
    </row>
    <row r="44" spans="1:6" s="22" customFormat="1" ht="18" thickBot="1" x14ac:dyDescent="0.3">
      <c r="A44" s="811"/>
      <c r="B44" s="611" t="s">
        <v>212</v>
      </c>
      <c r="C44" s="805"/>
      <c r="D44" s="612" t="s">
        <v>117</v>
      </c>
      <c r="E44" s="619"/>
      <c r="F44" s="97"/>
    </row>
    <row r="45" spans="1:6" ht="35.25" thickTop="1" x14ac:dyDescent="0.2">
      <c r="A45" s="810"/>
      <c r="B45" s="620" t="s">
        <v>332</v>
      </c>
      <c r="C45" s="362">
        <v>1000000</v>
      </c>
      <c r="D45" s="635" t="s">
        <v>213</v>
      </c>
      <c r="E45" s="610"/>
    </row>
    <row r="46" spans="1:6" ht="18" thickBot="1" x14ac:dyDescent="0.25">
      <c r="A46" s="810"/>
      <c r="B46" s="627" t="s">
        <v>73</v>
      </c>
      <c r="C46" s="363">
        <v>8760</v>
      </c>
      <c r="D46" s="636" t="s">
        <v>214</v>
      </c>
      <c r="E46" s="610"/>
    </row>
    <row r="47" spans="1:6" s="22" customFormat="1" ht="18" thickBot="1" x14ac:dyDescent="0.3">
      <c r="A47" s="811"/>
      <c r="B47" s="611" t="s">
        <v>397</v>
      </c>
      <c r="C47" s="805"/>
      <c r="D47" s="612" t="s">
        <v>117</v>
      </c>
      <c r="E47" s="619"/>
      <c r="F47" s="97"/>
    </row>
    <row r="48" spans="1:6" s="18" customFormat="1" ht="35.25" thickTop="1" x14ac:dyDescent="0.2">
      <c r="A48" s="643"/>
      <c r="B48" s="366" t="s">
        <v>128</v>
      </c>
      <c r="C48" s="613"/>
      <c r="D48" s="637" t="s">
        <v>330</v>
      </c>
      <c r="E48" s="616"/>
      <c r="F48" s="95"/>
    </row>
    <row r="49" spans="1:6" ht="34.5" x14ac:dyDescent="0.2">
      <c r="A49" s="810"/>
      <c r="B49" s="644" t="s">
        <v>26</v>
      </c>
      <c r="C49" s="356">
        <f>IF(B49="Submerged loading: dedicated normal service",0.6,IF(B49="Submerged loading of a clean cargo tank",0.5,IF(B49="Submerged loading: dedicated vapor balance service",1,IF(B49="Splash loading of a clean cargo tank",1.45,IF(B49="Splash loading: dedicated normal service",1.45,IF(B49="Splash loading: dedicated vapor balance service",1))))))</f>
        <v>1</v>
      </c>
      <c r="D49" s="624" t="s">
        <v>95</v>
      </c>
      <c r="E49" s="610"/>
    </row>
    <row r="50" spans="1:6" ht="17.25" x14ac:dyDescent="0.2">
      <c r="A50" s="810"/>
      <c r="B50" s="623" t="s">
        <v>334</v>
      </c>
      <c r="C50" s="358">
        <v>44.35</v>
      </c>
      <c r="D50" s="624" t="s">
        <v>371</v>
      </c>
      <c r="E50" s="610"/>
    </row>
    <row r="51" spans="1:6" ht="17.25" x14ac:dyDescent="0.2">
      <c r="A51" s="810"/>
      <c r="B51" s="623" t="s">
        <v>333</v>
      </c>
      <c r="C51" s="358">
        <v>14.4</v>
      </c>
      <c r="D51" s="624" t="s">
        <v>396</v>
      </c>
      <c r="E51" s="610"/>
    </row>
    <row r="52" spans="1:6" ht="34.5" x14ac:dyDescent="0.2">
      <c r="A52" s="810"/>
      <c r="B52" s="623" t="s">
        <v>344</v>
      </c>
      <c r="C52" s="358">
        <v>50</v>
      </c>
      <c r="D52" s="624" t="s">
        <v>85</v>
      </c>
      <c r="E52" s="610"/>
    </row>
    <row r="53" spans="1:6" ht="17.25" x14ac:dyDescent="0.2">
      <c r="A53" s="810"/>
      <c r="B53" s="623" t="s">
        <v>135</v>
      </c>
      <c r="C53" s="357">
        <v>180</v>
      </c>
      <c r="D53" s="624" t="s">
        <v>88</v>
      </c>
      <c r="E53" s="610"/>
    </row>
    <row r="54" spans="1:6" ht="18" thickBot="1" x14ac:dyDescent="0.25">
      <c r="A54" s="810"/>
      <c r="B54" s="627" t="s">
        <v>74</v>
      </c>
      <c r="C54" s="364">
        <v>1</v>
      </c>
      <c r="D54" s="629" t="s">
        <v>87</v>
      </c>
      <c r="E54" s="610"/>
    </row>
    <row r="55" spans="1:6" s="22" customFormat="1" ht="18" thickBot="1" x14ac:dyDescent="0.3">
      <c r="A55" s="811"/>
      <c r="B55" s="611" t="s">
        <v>102</v>
      </c>
      <c r="C55" s="805"/>
      <c r="D55" s="612" t="s">
        <v>117</v>
      </c>
      <c r="E55" s="619"/>
      <c r="F55" s="97"/>
    </row>
    <row r="56" spans="1:6" ht="18" thickTop="1" x14ac:dyDescent="0.2">
      <c r="A56" s="810"/>
      <c r="B56" s="638" t="s">
        <v>104</v>
      </c>
      <c r="C56" s="357">
        <v>0</v>
      </c>
      <c r="D56" s="622" t="s">
        <v>99</v>
      </c>
      <c r="E56" s="610"/>
    </row>
    <row r="57" spans="1:6" ht="17.25" x14ac:dyDescent="0.2">
      <c r="A57" s="810"/>
      <c r="B57" s="623" t="s">
        <v>73</v>
      </c>
      <c r="C57" s="357">
        <v>4380</v>
      </c>
      <c r="D57" s="624" t="s">
        <v>86</v>
      </c>
      <c r="E57" s="610"/>
    </row>
    <row r="58" spans="1:6" ht="17.25" x14ac:dyDescent="0.2">
      <c r="A58" s="810"/>
      <c r="B58" s="623" t="s">
        <v>331</v>
      </c>
      <c r="C58" s="358">
        <v>0.5</v>
      </c>
      <c r="D58" s="624" t="s">
        <v>139</v>
      </c>
      <c r="E58" s="610"/>
    </row>
    <row r="59" spans="1:6" ht="34.5" x14ac:dyDescent="0.2">
      <c r="A59" s="810"/>
      <c r="B59" s="645" t="s">
        <v>126</v>
      </c>
      <c r="C59" s="621"/>
      <c r="D59" s="632" t="s">
        <v>115</v>
      </c>
      <c r="E59" s="610"/>
    </row>
    <row r="60" spans="1:6" ht="18" thickBot="1" x14ac:dyDescent="0.25">
      <c r="A60" s="810"/>
      <c r="B60" s="627" t="s">
        <v>77</v>
      </c>
      <c r="C60" s="365">
        <f>IF(B59="Routed exhaust back into closed loop system",100%,IF(B59="Routed exhaust to a combustion device",98%,IF(B59="Vented to atmosphere",0%)))</f>
        <v>0.98</v>
      </c>
      <c r="D60" s="639" t="s">
        <v>89</v>
      </c>
      <c r="E60" s="610"/>
    </row>
    <row r="61" spans="1:6" ht="18" thickBot="1" x14ac:dyDescent="0.25">
      <c r="A61" s="810"/>
      <c r="B61" s="611" t="s">
        <v>97</v>
      </c>
      <c r="C61" s="806"/>
      <c r="D61" s="612" t="s">
        <v>117</v>
      </c>
      <c r="E61" s="610"/>
    </row>
    <row r="62" spans="1:6" ht="18" thickTop="1" x14ac:dyDescent="0.2">
      <c r="A62" s="810"/>
      <c r="B62" s="638" t="s">
        <v>103</v>
      </c>
      <c r="C62" s="357">
        <v>10</v>
      </c>
      <c r="D62" s="622" t="s">
        <v>100</v>
      </c>
      <c r="E62" s="610"/>
    </row>
    <row r="63" spans="1:6" ht="18" thickBot="1" x14ac:dyDescent="0.25">
      <c r="A63" s="810"/>
      <c r="B63" s="627" t="s">
        <v>336</v>
      </c>
      <c r="C63" s="364">
        <v>1.72</v>
      </c>
      <c r="D63" s="629" t="s">
        <v>204</v>
      </c>
      <c r="E63" s="610"/>
    </row>
    <row r="64" spans="1:6" ht="18" thickBot="1" x14ac:dyDescent="0.25">
      <c r="A64" s="810"/>
      <c r="B64" s="611" t="s">
        <v>131</v>
      </c>
      <c r="C64" s="807"/>
      <c r="D64" s="612" t="s">
        <v>117</v>
      </c>
      <c r="E64" s="610"/>
    </row>
    <row r="65" spans="1:6" ht="18" thickTop="1" x14ac:dyDescent="0.2">
      <c r="A65" s="810"/>
      <c r="B65" s="620" t="s">
        <v>132</v>
      </c>
      <c r="C65" s="358">
        <v>0</v>
      </c>
      <c r="D65" s="622" t="s">
        <v>211</v>
      </c>
      <c r="E65" s="610"/>
    </row>
    <row r="66" spans="1:6" ht="18" thickBot="1" x14ac:dyDescent="0.25">
      <c r="A66" s="810"/>
      <c r="B66" s="627" t="s">
        <v>133</v>
      </c>
      <c r="C66" s="364">
        <v>0</v>
      </c>
      <c r="D66" s="629" t="s">
        <v>210</v>
      </c>
      <c r="E66" s="610"/>
    </row>
    <row r="67" spans="1:6" ht="16.5" customHeight="1" x14ac:dyDescent="0.2">
      <c r="A67" s="812"/>
      <c r="B67" s="815" t="s">
        <v>382</v>
      </c>
      <c r="C67" s="815"/>
      <c r="D67" s="816"/>
      <c r="E67" s="640"/>
    </row>
    <row r="68" spans="1:6" ht="18" thickBot="1" x14ac:dyDescent="0.25">
      <c r="A68" s="813"/>
      <c r="B68" s="817"/>
      <c r="C68" s="814" t="s">
        <v>234</v>
      </c>
      <c r="D68" s="818">
        <v>44014</v>
      </c>
      <c r="E68" s="640"/>
    </row>
    <row r="69" spans="1:6" ht="14.25" customHeight="1" x14ac:dyDescent="0.2">
      <c r="A69" s="98"/>
      <c r="B69" s="99"/>
      <c r="C69" s="90"/>
      <c r="D69" s="100"/>
      <c r="E69" s="101"/>
    </row>
    <row r="70" spans="1:6" ht="14.25" customHeight="1" x14ac:dyDescent="0.2">
      <c r="A70" s="98"/>
      <c r="B70" s="99"/>
      <c r="C70" s="90"/>
      <c r="D70" s="100"/>
      <c r="E70" s="101"/>
    </row>
    <row r="71" spans="1:6" ht="15" customHeight="1" x14ac:dyDescent="0.2">
      <c r="A71" s="98"/>
      <c r="B71" s="99"/>
      <c r="C71" s="91"/>
      <c r="D71" s="91"/>
      <c r="E71" s="101"/>
    </row>
    <row r="72" spans="1:6" s="22" customFormat="1" ht="17.25" customHeight="1" x14ac:dyDescent="0.25">
      <c r="A72" s="92"/>
      <c r="B72" s="92"/>
      <c r="C72" s="92"/>
      <c r="D72" s="92"/>
      <c r="E72" s="102"/>
      <c r="F72" s="97"/>
    </row>
    <row r="73" spans="1:6" ht="15.75" x14ac:dyDescent="0.2">
      <c r="A73" s="98"/>
      <c r="B73" s="99"/>
      <c r="C73" s="93"/>
      <c r="D73" s="91"/>
      <c r="E73" s="101"/>
    </row>
    <row r="74" spans="1:6" ht="15.75" x14ac:dyDescent="0.2">
      <c r="A74" s="98"/>
      <c r="B74" s="99"/>
      <c r="C74" s="93"/>
      <c r="D74" s="91"/>
      <c r="E74" s="101"/>
    </row>
    <row r="75" spans="1:6" ht="15.75" x14ac:dyDescent="0.2">
      <c r="A75" s="98"/>
      <c r="B75" s="99"/>
      <c r="C75" s="93"/>
      <c r="D75" s="91"/>
      <c r="E75" s="101"/>
    </row>
    <row r="76" spans="1:6" ht="15.75" x14ac:dyDescent="0.2">
      <c r="A76" s="98"/>
      <c r="B76" s="99"/>
      <c r="C76" s="93"/>
      <c r="D76" s="91"/>
      <c r="E76" s="101"/>
    </row>
    <row r="77" spans="1:6" x14ac:dyDescent="0.2">
      <c r="A77" s="98"/>
      <c r="B77" s="99"/>
      <c r="C77" s="91"/>
      <c r="D77" s="91"/>
      <c r="E77" s="101"/>
    </row>
    <row r="78" spans="1:6" ht="15.75" x14ac:dyDescent="0.2">
      <c r="A78" s="98"/>
      <c r="B78" s="99"/>
      <c r="C78" s="90"/>
      <c r="D78" s="103"/>
      <c r="E78" s="101"/>
    </row>
    <row r="79" spans="1:6" s="22" customFormat="1" ht="15.75" x14ac:dyDescent="0.25">
      <c r="A79" s="92"/>
      <c r="B79" s="92"/>
      <c r="C79" s="92"/>
      <c r="D79" s="92"/>
      <c r="E79" s="102"/>
      <c r="F79" s="97"/>
    </row>
    <row r="80" spans="1:6" x14ac:dyDescent="0.2">
      <c r="A80" s="98"/>
      <c r="B80" s="99"/>
      <c r="C80" s="91"/>
      <c r="D80" s="91"/>
      <c r="E80" s="101"/>
    </row>
    <row r="81" spans="1:5" x14ac:dyDescent="0.2">
      <c r="A81" s="98"/>
      <c r="B81" s="99"/>
      <c r="C81" s="91"/>
      <c r="D81" s="91"/>
      <c r="E81" s="101"/>
    </row>
    <row r="82" spans="1:5" ht="15.75" x14ac:dyDescent="0.2">
      <c r="A82" s="98"/>
      <c r="B82" s="99"/>
      <c r="C82" s="93"/>
      <c r="D82" s="104"/>
      <c r="E82" s="101"/>
    </row>
    <row r="83" spans="1:5" ht="15.75" x14ac:dyDescent="0.2">
      <c r="A83" s="98"/>
      <c r="B83" s="99"/>
      <c r="C83" s="93"/>
      <c r="D83" s="91"/>
      <c r="E83" s="101"/>
    </row>
    <row r="84" spans="1:5" x14ac:dyDescent="0.2">
      <c r="A84" s="98"/>
      <c r="B84" s="99"/>
      <c r="C84" s="91"/>
      <c r="D84" s="91"/>
      <c r="E84" s="101"/>
    </row>
    <row r="85" spans="1:5" x14ac:dyDescent="0.2">
      <c r="A85" s="98"/>
      <c r="B85" s="99"/>
      <c r="C85" s="91"/>
      <c r="D85" s="91"/>
      <c r="E85" s="101"/>
    </row>
    <row r="86" spans="1:5" x14ac:dyDescent="0.2">
      <c r="A86" s="98"/>
      <c r="B86" s="99"/>
      <c r="C86" s="91"/>
      <c r="D86" s="91"/>
      <c r="E86" s="101"/>
    </row>
    <row r="87" spans="1:5" x14ac:dyDescent="0.2">
      <c r="A87" s="105"/>
    </row>
  </sheetData>
  <sheetProtection selectLockedCells="1"/>
  <mergeCells count="2">
    <mergeCell ref="B2:D2"/>
    <mergeCell ref="B67:D67"/>
  </mergeCells>
  <conditionalFormatting sqref="B28:D28 B30:D31">
    <cfRule type="expression" dxfId="10" priority="8">
      <formula>$B$27="Ground Pit Flare"</formula>
    </cfRule>
    <cfRule type="expression" dxfId="9" priority="9">
      <formula>$B$27="Utility Flare or Other 98% DRE Device"</formula>
    </cfRule>
    <cfRule type="expression" dxfId="8" priority="10">
      <formula>$B$27="Enclosed Smokeless Combustor"</formula>
    </cfRule>
    <cfRule type="expression" dxfId="7" priority="11">
      <formula>$B$27="Vapor Recovery Unit or Oil Stabilizer"</formula>
    </cfRule>
    <cfRule type="expression" dxfId="6" priority="12">
      <formula>$B$27="Connected to Sales Line"</formula>
    </cfRule>
  </conditionalFormatting>
  <conditionalFormatting sqref="B40:D40 B42:D43">
    <cfRule type="expression" dxfId="5" priority="2">
      <formula>$B$39="Enclosed Smokeless Combustor"</formula>
    </cfRule>
    <cfRule type="expression" dxfId="4" priority="3">
      <formula>$B$39="Ground Pit Flare"</formula>
    </cfRule>
    <cfRule type="expression" dxfId="3" priority="4">
      <formula>$B$39="Utility Flare or Other 98% DRE Device"</formula>
    </cfRule>
    <cfRule type="expression" dxfId="2" priority="6">
      <formula>$B$39="Vapor Recovery Unit or Oil Stabilizer"</formula>
    </cfRule>
    <cfRule type="expression" dxfId="1" priority="7">
      <formula>$B$39="Connected to sales line"</formula>
    </cfRule>
  </conditionalFormatting>
  <conditionalFormatting sqref="B49:D54">
    <cfRule type="expression" dxfId="0" priority="1">
      <formula>$B$48="Oil is sold through LACT"</formula>
    </cfRule>
  </conditionalFormatting>
  <dataValidations count="3">
    <dataValidation type="list" allowBlank="1" showInputMessage="1" showErrorMessage="1" sqref="B59" xr:uid="{00000000-0002-0000-0000-000000000000}">
      <formula1>Trace_Pump_Emission_Control</formula1>
    </dataValidation>
    <dataValidation type="list" showInputMessage="1" showErrorMessage="1" sqref="B49" xr:uid="{00000000-0002-0000-0000-000001000000}">
      <formula1>ModeofOperation</formula1>
    </dataValidation>
    <dataValidation type="list" allowBlank="1" showInputMessage="1" showErrorMessage="1" sqref="B48" xr:uid="{00000000-0002-0000-0000-000005000000}">
      <formula1>Oil_Sales_Method</formula1>
    </dataValidation>
  </dataValidations>
  <printOptions horizontalCentered="1"/>
  <pageMargins left="0.25" right="0.25" top="0.75" bottom="0.75" header="0.3" footer="0.3"/>
  <pageSetup scale="51" fitToWidth="0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xr:uid="{3FF3D871-91A8-4834-8B6E-D90C02D8A9D9}">
          <x14:formula1>
            <xm:f>'Drop Down Lists'!$K$1:$K$2</xm:f>
          </x14:formula1>
          <xm:sqref>C11</xm:sqref>
        </x14:dataValidation>
        <x14:dataValidation type="list" allowBlank="1" showInputMessage="1" showErrorMessage="1" xr:uid="{B637D1B5-DE74-4363-B7DF-9DD654B45D45}">
          <x14:formula1>
            <xm:f>'Drop Down Lists'!$B$1:$B$6</xm:f>
          </x14:formula1>
          <xm:sqref>B40</xm:sqref>
        </x14:dataValidation>
        <x14:dataValidation type="list" xr:uid="{23E7BF67-3B76-421B-AF81-FC0220150877}">
          <x14:formula1>
            <xm:f>'Drop Down Lists'!$B$1:$B$6</xm:f>
          </x14:formula1>
          <xm:sqref>B28</xm:sqref>
        </x14:dataValidation>
        <x14:dataValidation type="list" allowBlank="1" showInputMessage="1" showErrorMessage="1" xr:uid="{0D192097-D9E0-432D-935E-C34CD0047711}">
          <x14:formula1>
            <xm:f>'Drop Down Lists'!$A$8:$A$14</xm:f>
          </x14:formula1>
          <xm:sqref>B39 B27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140"/>
  <sheetViews>
    <sheetView zoomScaleNormal="100" workbookViewId="0">
      <selection activeCell="C10" sqref="C10"/>
    </sheetView>
  </sheetViews>
  <sheetFormatPr defaultRowHeight="12.75" x14ac:dyDescent="0.2"/>
  <cols>
    <col min="1" max="1" width="4.140625" customWidth="1"/>
    <col min="2" max="2" width="24.140625" bestFit="1" customWidth="1"/>
    <col min="3" max="3" width="8.7109375" customWidth="1"/>
    <col min="4" max="4" width="9.42578125" customWidth="1"/>
    <col min="5" max="5" width="9.140625" customWidth="1"/>
    <col min="6" max="6" width="9.28515625" customWidth="1"/>
    <col min="14" max="14" width="41" customWidth="1"/>
    <col min="15" max="15" width="4" customWidth="1"/>
    <col min="16" max="16" width="5.5703125" style="1" customWidth="1"/>
  </cols>
  <sheetData>
    <row r="1" spans="1:25" ht="25.5" x14ac:dyDescent="0.3">
      <c r="A1" s="702" t="s">
        <v>187</v>
      </c>
      <c r="B1" s="702"/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2"/>
      <c r="N1" s="702"/>
      <c r="O1" s="702"/>
      <c r="P1" s="75"/>
      <c r="Q1" s="75"/>
      <c r="R1" s="1"/>
      <c r="S1" s="1"/>
      <c r="T1" s="1"/>
      <c r="U1" s="1"/>
      <c r="V1" s="1"/>
      <c r="W1" s="1"/>
      <c r="X1" s="1"/>
      <c r="Y1" s="1"/>
    </row>
    <row r="2" spans="1:25" ht="15.75" customHeight="1" thickBot="1" x14ac:dyDescent="0.35">
      <c r="A2" s="701"/>
      <c r="B2" s="701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70"/>
      <c r="P2" s="75"/>
      <c r="Q2" s="75"/>
      <c r="R2" s="1"/>
      <c r="S2" s="1"/>
      <c r="T2" s="1"/>
      <c r="U2" s="1"/>
      <c r="V2" s="1"/>
      <c r="W2" s="1"/>
      <c r="X2" s="1"/>
      <c r="Y2" s="1"/>
    </row>
    <row r="3" spans="1:25" ht="13.5" customHeight="1" thickTop="1" thickBot="1" x14ac:dyDescent="0.35">
      <c r="A3" s="371"/>
      <c r="B3" s="372"/>
      <c r="C3" s="373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374"/>
      <c r="P3" s="75"/>
      <c r="Q3" s="75"/>
      <c r="R3" s="1"/>
      <c r="S3" s="1"/>
      <c r="T3" s="1"/>
      <c r="U3" s="1"/>
      <c r="V3" s="1"/>
      <c r="W3" s="1"/>
      <c r="X3" s="1"/>
      <c r="Y3" s="1"/>
    </row>
    <row r="4" spans="1:25" ht="17.25" customHeight="1" thickTop="1" thickBot="1" x14ac:dyDescent="0.35">
      <c r="A4" s="375"/>
      <c r="B4" s="149" t="s">
        <v>207</v>
      </c>
      <c r="C4" s="153">
        <v>0</v>
      </c>
      <c r="D4" s="686" t="s">
        <v>208</v>
      </c>
      <c r="E4" s="687"/>
      <c r="F4" s="687"/>
      <c r="G4" s="687"/>
      <c r="H4" s="687"/>
      <c r="I4" s="687"/>
      <c r="J4" s="687"/>
      <c r="K4" s="687"/>
      <c r="L4" s="687"/>
      <c r="M4" s="687"/>
      <c r="N4" s="688"/>
      <c r="O4" s="376"/>
      <c r="P4" s="75"/>
      <c r="Q4" s="75"/>
      <c r="R4" s="1"/>
      <c r="S4" s="1"/>
      <c r="T4" s="1"/>
      <c r="U4" s="1"/>
      <c r="V4" s="1"/>
      <c r="W4" s="1"/>
      <c r="X4" s="1"/>
      <c r="Y4" s="1"/>
    </row>
    <row r="5" spans="1:25" ht="18.75" thickTop="1" thickBot="1" x14ac:dyDescent="0.35">
      <c r="A5" s="164"/>
      <c r="B5" s="158"/>
      <c r="C5" s="158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77"/>
      <c r="P5" s="595"/>
      <c r="Q5" s="26"/>
      <c r="R5" s="1"/>
      <c r="S5" s="1"/>
      <c r="T5" s="1"/>
      <c r="U5" s="1"/>
      <c r="V5" s="1"/>
      <c r="W5" s="1"/>
      <c r="X5" s="1"/>
      <c r="Y5" s="1"/>
    </row>
    <row r="6" spans="1:25" ht="18.75" thickTop="1" thickBot="1" x14ac:dyDescent="0.35">
      <c r="A6" s="164"/>
      <c r="B6" s="150" t="s">
        <v>180</v>
      </c>
      <c r="C6" s="377"/>
      <c r="D6" s="698" t="s">
        <v>117</v>
      </c>
      <c r="E6" s="699"/>
      <c r="F6" s="699"/>
      <c r="G6" s="699"/>
      <c r="H6" s="699"/>
      <c r="I6" s="699"/>
      <c r="J6" s="699"/>
      <c r="K6" s="699"/>
      <c r="L6" s="699"/>
      <c r="M6" s="699"/>
      <c r="N6" s="700"/>
      <c r="O6" s="378"/>
      <c r="P6" s="36"/>
      <c r="Q6" s="36"/>
      <c r="R6" s="1"/>
      <c r="S6" s="1"/>
      <c r="T6" s="1"/>
      <c r="U6" s="1"/>
      <c r="V6" s="1"/>
      <c r="W6" s="1"/>
      <c r="X6" s="1"/>
      <c r="Y6" s="1"/>
    </row>
    <row r="7" spans="1:25" ht="18.75" thickTop="1" thickBot="1" x14ac:dyDescent="0.35">
      <c r="A7" s="164"/>
      <c r="B7" s="151" t="s">
        <v>73</v>
      </c>
      <c r="C7" s="152" t="str">
        <f>IF(C4&gt;=1,(8760),"0")</f>
        <v>0</v>
      </c>
      <c r="D7" s="689" t="s">
        <v>136</v>
      </c>
      <c r="E7" s="690"/>
      <c r="F7" s="690"/>
      <c r="G7" s="690"/>
      <c r="H7" s="690"/>
      <c r="I7" s="690"/>
      <c r="J7" s="690"/>
      <c r="K7" s="690"/>
      <c r="L7" s="690"/>
      <c r="M7" s="690"/>
      <c r="N7" s="691"/>
      <c r="O7" s="379"/>
      <c r="P7" s="76"/>
      <c r="Q7" s="76"/>
      <c r="R7" s="1"/>
      <c r="S7" s="26"/>
      <c r="T7" s="1"/>
      <c r="U7" s="1"/>
      <c r="V7" s="1"/>
      <c r="W7" s="1"/>
      <c r="X7" s="1"/>
      <c r="Y7" s="1"/>
    </row>
    <row r="8" spans="1:25" ht="18.75" thickTop="1" thickBot="1" x14ac:dyDescent="0.35">
      <c r="A8" s="164"/>
      <c r="B8" s="151" t="s">
        <v>84</v>
      </c>
      <c r="C8" s="153">
        <v>100</v>
      </c>
      <c r="D8" s="686" t="s">
        <v>182</v>
      </c>
      <c r="E8" s="687"/>
      <c r="F8" s="687"/>
      <c r="G8" s="687"/>
      <c r="H8" s="687"/>
      <c r="I8" s="687"/>
      <c r="J8" s="687"/>
      <c r="K8" s="687"/>
      <c r="L8" s="687"/>
      <c r="M8" s="687"/>
      <c r="N8" s="688"/>
      <c r="O8" s="379"/>
      <c r="P8" s="76"/>
      <c r="Q8" s="76"/>
      <c r="R8" s="26"/>
      <c r="S8" s="1"/>
      <c r="T8" s="1"/>
      <c r="U8" s="1"/>
      <c r="V8" s="1"/>
      <c r="W8" s="1"/>
      <c r="X8" s="1"/>
      <c r="Y8" s="1"/>
    </row>
    <row r="9" spans="1:25" ht="18.75" thickTop="1" thickBot="1" x14ac:dyDescent="0.35">
      <c r="A9" s="164"/>
      <c r="B9" s="151" t="s">
        <v>79</v>
      </c>
      <c r="C9" s="153">
        <v>10</v>
      </c>
      <c r="D9" s="689" t="s">
        <v>137</v>
      </c>
      <c r="E9" s="690"/>
      <c r="F9" s="690"/>
      <c r="G9" s="690"/>
      <c r="H9" s="690"/>
      <c r="I9" s="690"/>
      <c r="J9" s="690"/>
      <c r="K9" s="690"/>
      <c r="L9" s="690"/>
      <c r="M9" s="690"/>
      <c r="N9" s="691"/>
      <c r="O9" s="379"/>
      <c r="P9" s="76"/>
      <c r="Q9" s="76"/>
      <c r="R9" s="1"/>
      <c r="S9" s="1"/>
      <c r="T9" s="1"/>
      <c r="U9" s="1"/>
      <c r="V9" s="1"/>
      <c r="W9" s="1"/>
      <c r="X9" s="1"/>
      <c r="Y9" s="1"/>
    </row>
    <row r="10" spans="1:25" ht="18.75" thickTop="1" thickBot="1" x14ac:dyDescent="0.35">
      <c r="A10" s="164"/>
      <c r="B10" s="151" t="s">
        <v>72</v>
      </c>
      <c r="C10" s="153">
        <v>5</v>
      </c>
      <c r="D10" s="686" t="s">
        <v>138</v>
      </c>
      <c r="E10" s="687"/>
      <c r="F10" s="687"/>
      <c r="G10" s="687"/>
      <c r="H10" s="687"/>
      <c r="I10" s="687"/>
      <c r="J10" s="687"/>
      <c r="K10" s="687"/>
      <c r="L10" s="687"/>
      <c r="M10" s="687"/>
      <c r="N10" s="688"/>
      <c r="O10" s="379"/>
      <c r="P10" s="76"/>
      <c r="Q10" s="76"/>
      <c r="R10" s="1"/>
      <c r="S10" s="1"/>
      <c r="T10" s="1"/>
      <c r="U10" s="1"/>
      <c r="V10" s="1"/>
      <c r="W10" s="1"/>
      <c r="X10" s="1"/>
      <c r="Y10" s="1"/>
    </row>
    <row r="11" spans="1:25" ht="18.75" thickTop="1" thickBot="1" x14ac:dyDescent="0.35">
      <c r="A11" s="164"/>
      <c r="B11" s="151" t="s">
        <v>173</v>
      </c>
      <c r="C11" s="153">
        <v>4</v>
      </c>
      <c r="D11" s="689" t="s">
        <v>143</v>
      </c>
      <c r="E11" s="690"/>
      <c r="F11" s="690"/>
      <c r="G11" s="690"/>
      <c r="H11" s="690"/>
      <c r="I11" s="690"/>
      <c r="J11" s="690"/>
      <c r="K11" s="690"/>
      <c r="L11" s="690"/>
      <c r="M11" s="690"/>
      <c r="N11" s="691"/>
      <c r="O11" s="379"/>
      <c r="P11" s="76"/>
      <c r="Q11" s="76"/>
      <c r="R11" s="1"/>
      <c r="S11" s="1"/>
      <c r="T11" s="1"/>
      <c r="U11" s="1"/>
      <c r="V11" s="1"/>
      <c r="W11" s="1"/>
      <c r="X11" s="1"/>
      <c r="Y11" s="1"/>
    </row>
    <row r="12" spans="1:25" ht="18.75" thickTop="1" thickBot="1" x14ac:dyDescent="0.35">
      <c r="A12" s="164"/>
      <c r="B12" s="151" t="s">
        <v>80</v>
      </c>
      <c r="C12" s="154">
        <v>0.9</v>
      </c>
      <c r="D12" s="692" t="s">
        <v>122</v>
      </c>
      <c r="E12" s="693"/>
      <c r="F12" s="693"/>
      <c r="G12" s="693"/>
      <c r="H12" s="693"/>
      <c r="I12" s="693"/>
      <c r="J12" s="693"/>
      <c r="K12" s="693"/>
      <c r="L12" s="693"/>
      <c r="M12" s="693"/>
      <c r="N12" s="694"/>
      <c r="O12" s="380"/>
      <c r="P12" s="69"/>
      <c r="Q12" s="69"/>
      <c r="R12" s="1"/>
      <c r="S12" s="1"/>
      <c r="T12" s="1"/>
      <c r="U12" s="1"/>
      <c r="V12" s="1"/>
      <c r="W12" s="1"/>
      <c r="X12" s="1"/>
      <c r="Y12" s="1"/>
    </row>
    <row r="13" spans="1:25" ht="18.75" thickTop="1" thickBot="1" x14ac:dyDescent="0.35">
      <c r="A13" s="164"/>
      <c r="B13" s="151" t="s">
        <v>81</v>
      </c>
      <c r="C13" s="154">
        <v>0.75</v>
      </c>
      <c r="D13" s="695" t="s">
        <v>123</v>
      </c>
      <c r="E13" s="696"/>
      <c r="F13" s="696"/>
      <c r="G13" s="696"/>
      <c r="H13" s="696"/>
      <c r="I13" s="696"/>
      <c r="J13" s="696"/>
      <c r="K13" s="696"/>
      <c r="L13" s="696"/>
      <c r="M13" s="696"/>
      <c r="N13" s="697"/>
      <c r="O13" s="380"/>
      <c r="P13" s="69"/>
      <c r="Q13" s="69"/>
      <c r="R13" s="1"/>
      <c r="S13" s="1"/>
      <c r="T13" s="1"/>
      <c r="U13" s="1"/>
      <c r="V13" s="1"/>
      <c r="W13" s="1"/>
      <c r="X13" s="1"/>
      <c r="Y13" s="1"/>
    </row>
    <row r="14" spans="1:25" ht="18.75" thickTop="1" thickBot="1" x14ac:dyDescent="0.35">
      <c r="A14" s="164"/>
      <c r="B14" s="151" t="s">
        <v>82</v>
      </c>
      <c r="C14" s="154">
        <v>0.7</v>
      </c>
      <c r="D14" s="692" t="s">
        <v>124</v>
      </c>
      <c r="E14" s="693"/>
      <c r="F14" s="693"/>
      <c r="G14" s="693"/>
      <c r="H14" s="693"/>
      <c r="I14" s="693"/>
      <c r="J14" s="693"/>
      <c r="K14" s="693"/>
      <c r="L14" s="693"/>
      <c r="M14" s="693"/>
      <c r="N14" s="694"/>
      <c r="O14" s="380"/>
      <c r="P14" s="69"/>
      <c r="Q14" s="69"/>
      <c r="R14" s="1"/>
      <c r="S14" s="1"/>
      <c r="T14" s="1"/>
      <c r="U14" s="1"/>
      <c r="V14" s="1"/>
      <c r="W14" s="1"/>
      <c r="X14" s="1"/>
      <c r="Y14" s="1"/>
    </row>
    <row r="15" spans="1:25" ht="18.75" thickTop="1" thickBot="1" x14ac:dyDescent="0.35">
      <c r="A15" s="164"/>
      <c r="B15" s="158"/>
      <c r="C15" s="158"/>
      <c r="D15" s="161"/>
      <c r="E15" s="161"/>
      <c r="F15" s="161"/>
      <c r="G15" s="161"/>
      <c r="H15" s="161"/>
      <c r="I15" s="161"/>
      <c r="J15" s="161"/>
      <c r="K15" s="161"/>
      <c r="L15" s="161"/>
      <c r="M15" s="161"/>
      <c r="N15" s="161"/>
      <c r="O15" s="77"/>
      <c r="Q15" s="1"/>
      <c r="R15" s="1"/>
      <c r="S15" s="1"/>
      <c r="T15" s="1"/>
      <c r="U15" s="1"/>
      <c r="V15" s="1"/>
      <c r="W15" s="1"/>
      <c r="X15" s="1"/>
      <c r="Y15" s="1"/>
    </row>
    <row r="16" spans="1:25" ht="18.75" thickTop="1" thickBot="1" x14ac:dyDescent="0.35">
      <c r="A16" s="164"/>
      <c r="B16" s="150" t="s">
        <v>181</v>
      </c>
      <c r="C16" s="377"/>
      <c r="D16" s="698" t="s">
        <v>117</v>
      </c>
      <c r="E16" s="699"/>
      <c r="F16" s="699"/>
      <c r="G16" s="699"/>
      <c r="H16" s="699"/>
      <c r="I16" s="699"/>
      <c r="J16" s="699"/>
      <c r="K16" s="699"/>
      <c r="L16" s="699"/>
      <c r="M16" s="699"/>
      <c r="N16" s="700"/>
      <c r="O16" s="378"/>
      <c r="Q16" s="1"/>
      <c r="R16" s="1"/>
      <c r="S16" s="1"/>
      <c r="T16" s="1"/>
      <c r="U16" s="1"/>
      <c r="V16" s="1"/>
      <c r="W16" s="1"/>
      <c r="X16" s="1"/>
      <c r="Y16" s="1"/>
    </row>
    <row r="17" spans="1:25" ht="18.75" thickTop="1" thickBot="1" x14ac:dyDescent="0.35">
      <c r="A17" s="164"/>
      <c r="B17" s="151" t="s">
        <v>73</v>
      </c>
      <c r="C17" s="152" t="str">
        <f>IF(C4&gt;=2,(8760),"0")</f>
        <v>0</v>
      </c>
      <c r="D17" s="689" t="s">
        <v>136</v>
      </c>
      <c r="E17" s="690"/>
      <c r="F17" s="690"/>
      <c r="G17" s="690"/>
      <c r="H17" s="690"/>
      <c r="I17" s="690"/>
      <c r="J17" s="690"/>
      <c r="K17" s="690"/>
      <c r="L17" s="690"/>
      <c r="M17" s="690"/>
      <c r="N17" s="691"/>
      <c r="O17" s="379"/>
      <c r="Q17" s="1"/>
      <c r="R17" s="1"/>
      <c r="S17" s="1"/>
      <c r="T17" s="1"/>
      <c r="U17" s="1"/>
      <c r="V17" s="1"/>
      <c r="W17" s="1"/>
      <c r="X17" s="1"/>
      <c r="Y17" s="1"/>
    </row>
    <row r="18" spans="1:25" ht="18.75" thickTop="1" thickBot="1" x14ac:dyDescent="0.35">
      <c r="A18" s="164"/>
      <c r="B18" s="151" t="s">
        <v>84</v>
      </c>
      <c r="C18" s="153">
        <v>100</v>
      </c>
      <c r="D18" s="686" t="s">
        <v>182</v>
      </c>
      <c r="E18" s="687"/>
      <c r="F18" s="687"/>
      <c r="G18" s="687"/>
      <c r="H18" s="687"/>
      <c r="I18" s="687"/>
      <c r="J18" s="687"/>
      <c r="K18" s="687"/>
      <c r="L18" s="687"/>
      <c r="M18" s="687"/>
      <c r="N18" s="688"/>
      <c r="O18" s="379"/>
      <c r="Q18" s="1"/>
      <c r="R18" s="1"/>
      <c r="S18" s="1"/>
      <c r="T18" s="1"/>
      <c r="U18" s="1"/>
      <c r="V18" s="1"/>
      <c r="W18" s="1"/>
      <c r="X18" s="1"/>
      <c r="Y18" s="1"/>
    </row>
    <row r="19" spans="1:25" ht="18.75" thickTop="1" thickBot="1" x14ac:dyDescent="0.35">
      <c r="A19" s="164"/>
      <c r="B19" s="151" t="s">
        <v>79</v>
      </c>
      <c r="C19" s="153">
        <v>10</v>
      </c>
      <c r="D19" s="689" t="s">
        <v>137</v>
      </c>
      <c r="E19" s="690"/>
      <c r="F19" s="690"/>
      <c r="G19" s="690"/>
      <c r="H19" s="690"/>
      <c r="I19" s="690"/>
      <c r="J19" s="690"/>
      <c r="K19" s="690"/>
      <c r="L19" s="690"/>
      <c r="M19" s="690"/>
      <c r="N19" s="691"/>
      <c r="O19" s="379"/>
      <c r="Q19" s="1"/>
      <c r="R19" s="1"/>
      <c r="S19" s="1"/>
      <c r="T19" s="1"/>
      <c r="U19" s="1"/>
      <c r="V19" s="1"/>
      <c r="W19" s="1"/>
      <c r="X19" s="1"/>
      <c r="Y19" s="1"/>
    </row>
    <row r="20" spans="1:25" ht="18.75" thickTop="1" thickBot="1" x14ac:dyDescent="0.35">
      <c r="A20" s="164"/>
      <c r="B20" s="151" t="s">
        <v>72</v>
      </c>
      <c r="C20" s="153">
        <v>5</v>
      </c>
      <c r="D20" s="686" t="s">
        <v>138</v>
      </c>
      <c r="E20" s="687"/>
      <c r="F20" s="687"/>
      <c r="G20" s="687"/>
      <c r="H20" s="687"/>
      <c r="I20" s="687"/>
      <c r="J20" s="687"/>
      <c r="K20" s="687"/>
      <c r="L20" s="687"/>
      <c r="M20" s="687"/>
      <c r="N20" s="688"/>
      <c r="O20" s="379"/>
      <c r="Q20" s="1"/>
      <c r="R20" s="1"/>
      <c r="S20" s="1"/>
      <c r="T20" s="1"/>
      <c r="U20" s="1"/>
      <c r="V20" s="1"/>
      <c r="W20" s="1"/>
      <c r="X20" s="1"/>
      <c r="Y20" s="1"/>
    </row>
    <row r="21" spans="1:25" ht="18.75" thickTop="1" thickBot="1" x14ac:dyDescent="0.35">
      <c r="A21" s="164"/>
      <c r="B21" s="151" t="s">
        <v>173</v>
      </c>
      <c r="C21" s="153">
        <v>4</v>
      </c>
      <c r="D21" s="689" t="s">
        <v>143</v>
      </c>
      <c r="E21" s="690"/>
      <c r="F21" s="690"/>
      <c r="G21" s="690"/>
      <c r="H21" s="690"/>
      <c r="I21" s="690"/>
      <c r="J21" s="690"/>
      <c r="K21" s="690"/>
      <c r="L21" s="690"/>
      <c r="M21" s="690"/>
      <c r="N21" s="691"/>
      <c r="O21" s="379"/>
      <c r="Q21" s="1"/>
      <c r="R21" s="1"/>
      <c r="S21" s="1"/>
      <c r="T21" s="1"/>
      <c r="U21" s="1"/>
      <c r="V21" s="1"/>
      <c r="W21" s="1"/>
      <c r="X21" s="1"/>
      <c r="Y21" s="1"/>
    </row>
    <row r="22" spans="1:25" ht="18.75" thickTop="1" thickBot="1" x14ac:dyDescent="0.35">
      <c r="A22" s="164"/>
      <c r="B22" s="151" t="s">
        <v>80</v>
      </c>
      <c r="C22" s="154">
        <v>0.9</v>
      </c>
      <c r="D22" s="692" t="s">
        <v>122</v>
      </c>
      <c r="E22" s="693"/>
      <c r="F22" s="693"/>
      <c r="G22" s="693"/>
      <c r="H22" s="693"/>
      <c r="I22" s="693"/>
      <c r="J22" s="693"/>
      <c r="K22" s="693"/>
      <c r="L22" s="693"/>
      <c r="M22" s="693"/>
      <c r="N22" s="694"/>
      <c r="O22" s="380"/>
      <c r="Q22" s="1"/>
      <c r="R22" s="1"/>
      <c r="S22" s="1"/>
      <c r="T22" s="1"/>
      <c r="U22" s="1"/>
      <c r="V22" s="1"/>
      <c r="W22" s="1"/>
      <c r="X22" s="1"/>
      <c r="Y22" s="1"/>
    </row>
    <row r="23" spans="1:25" ht="18.75" thickTop="1" thickBot="1" x14ac:dyDescent="0.35">
      <c r="A23" s="164"/>
      <c r="B23" s="151" t="s">
        <v>81</v>
      </c>
      <c r="C23" s="154">
        <v>0.75</v>
      </c>
      <c r="D23" s="695" t="s">
        <v>123</v>
      </c>
      <c r="E23" s="696"/>
      <c r="F23" s="696"/>
      <c r="G23" s="696"/>
      <c r="H23" s="696"/>
      <c r="I23" s="696"/>
      <c r="J23" s="696"/>
      <c r="K23" s="696"/>
      <c r="L23" s="696"/>
      <c r="M23" s="696"/>
      <c r="N23" s="697"/>
      <c r="O23" s="380"/>
      <c r="Q23" s="1"/>
      <c r="R23" s="1"/>
      <c r="S23" s="1"/>
      <c r="T23" s="1"/>
      <c r="U23" s="1"/>
      <c r="V23" s="1"/>
      <c r="W23" s="1"/>
      <c r="X23" s="1"/>
      <c r="Y23" s="1"/>
    </row>
    <row r="24" spans="1:25" ht="18.75" thickTop="1" thickBot="1" x14ac:dyDescent="0.35">
      <c r="A24" s="164"/>
      <c r="B24" s="151" t="s">
        <v>82</v>
      </c>
      <c r="C24" s="154">
        <v>0.7</v>
      </c>
      <c r="D24" s="692" t="s">
        <v>124</v>
      </c>
      <c r="E24" s="693"/>
      <c r="F24" s="693"/>
      <c r="G24" s="693"/>
      <c r="H24" s="693"/>
      <c r="I24" s="693"/>
      <c r="J24" s="693"/>
      <c r="K24" s="693"/>
      <c r="L24" s="693"/>
      <c r="M24" s="693"/>
      <c r="N24" s="694"/>
      <c r="O24" s="380"/>
      <c r="Q24" s="1"/>
      <c r="R24" s="1"/>
      <c r="S24" s="1"/>
      <c r="T24" s="1"/>
      <c r="U24" s="1"/>
      <c r="V24" s="1"/>
      <c r="W24" s="1"/>
      <c r="X24" s="1"/>
      <c r="Y24" s="1"/>
    </row>
    <row r="25" spans="1:25" ht="18.75" thickTop="1" thickBot="1" x14ac:dyDescent="0.35">
      <c r="A25" s="164"/>
      <c r="B25" s="158"/>
      <c r="C25" s="158"/>
      <c r="D25" s="161"/>
      <c r="E25" s="161"/>
      <c r="F25" s="161"/>
      <c r="G25" s="161"/>
      <c r="H25" s="161"/>
      <c r="I25" s="161"/>
      <c r="J25" s="161"/>
      <c r="K25" s="161"/>
      <c r="L25" s="161"/>
      <c r="M25" s="161"/>
      <c r="N25" s="161"/>
      <c r="O25" s="77"/>
      <c r="Q25" s="1"/>
      <c r="R25" s="1"/>
      <c r="S25" s="1"/>
      <c r="T25" s="1"/>
      <c r="U25" s="1"/>
      <c r="V25" s="1"/>
      <c r="W25" s="1"/>
      <c r="X25" s="1"/>
      <c r="Y25" s="1"/>
    </row>
    <row r="26" spans="1:25" ht="18.75" thickTop="1" thickBot="1" x14ac:dyDescent="0.35">
      <c r="A26" s="164"/>
      <c r="B26" s="150" t="s">
        <v>188</v>
      </c>
      <c r="C26" s="377"/>
      <c r="D26" s="698" t="s">
        <v>117</v>
      </c>
      <c r="E26" s="699"/>
      <c r="F26" s="699"/>
      <c r="G26" s="699"/>
      <c r="H26" s="699"/>
      <c r="I26" s="699"/>
      <c r="J26" s="699"/>
      <c r="K26" s="699"/>
      <c r="L26" s="699"/>
      <c r="M26" s="699"/>
      <c r="N26" s="700"/>
      <c r="O26" s="378"/>
      <c r="Q26" s="1"/>
      <c r="R26" s="1"/>
      <c r="S26" s="1"/>
      <c r="T26" s="1"/>
      <c r="U26" s="1"/>
      <c r="V26" s="1"/>
      <c r="W26" s="1"/>
      <c r="X26" s="1"/>
      <c r="Y26" s="1"/>
    </row>
    <row r="27" spans="1:25" ht="18.75" thickTop="1" thickBot="1" x14ac:dyDescent="0.35">
      <c r="A27" s="164"/>
      <c r="B27" s="151" t="s">
        <v>73</v>
      </c>
      <c r="C27" s="152" t="str">
        <f>IF(C4&gt;=3,(8760),"0")</f>
        <v>0</v>
      </c>
      <c r="D27" s="689" t="s">
        <v>136</v>
      </c>
      <c r="E27" s="690"/>
      <c r="F27" s="690"/>
      <c r="G27" s="690"/>
      <c r="H27" s="690"/>
      <c r="I27" s="690"/>
      <c r="J27" s="690"/>
      <c r="K27" s="690"/>
      <c r="L27" s="690"/>
      <c r="M27" s="690"/>
      <c r="N27" s="691"/>
      <c r="O27" s="379"/>
      <c r="Q27" s="1"/>
      <c r="R27" s="1"/>
      <c r="S27" s="1"/>
      <c r="T27" s="1"/>
      <c r="U27" s="1"/>
      <c r="V27" s="1"/>
      <c r="W27" s="1"/>
      <c r="X27" s="1"/>
      <c r="Y27" s="1"/>
    </row>
    <row r="28" spans="1:25" ht="18.75" thickTop="1" thickBot="1" x14ac:dyDescent="0.35">
      <c r="A28" s="164"/>
      <c r="B28" s="151" t="s">
        <v>84</v>
      </c>
      <c r="C28" s="153">
        <v>100</v>
      </c>
      <c r="D28" s="686" t="s">
        <v>182</v>
      </c>
      <c r="E28" s="687"/>
      <c r="F28" s="687"/>
      <c r="G28" s="687"/>
      <c r="H28" s="687"/>
      <c r="I28" s="687"/>
      <c r="J28" s="687"/>
      <c r="K28" s="687"/>
      <c r="L28" s="687"/>
      <c r="M28" s="687"/>
      <c r="N28" s="688"/>
      <c r="O28" s="379"/>
      <c r="Q28" s="1"/>
      <c r="R28" s="1"/>
      <c r="S28" s="1"/>
      <c r="T28" s="1"/>
      <c r="U28" s="1"/>
      <c r="V28" s="1"/>
      <c r="W28" s="1"/>
      <c r="X28" s="1"/>
      <c r="Y28" s="1"/>
    </row>
    <row r="29" spans="1:25" ht="18.75" thickTop="1" thickBot="1" x14ac:dyDescent="0.35">
      <c r="A29" s="164"/>
      <c r="B29" s="151" t="s">
        <v>79</v>
      </c>
      <c r="C29" s="153">
        <v>10</v>
      </c>
      <c r="D29" s="689" t="s">
        <v>137</v>
      </c>
      <c r="E29" s="690"/>
      <c r="F29" s="690"/>
      <c r="G29" s="690"/>
      <c r="H29" s="690"/>
      <c r="I29" s="690"/>
      <c r="J29" s="690"/>
      <c r="K29" s="690"/>
      <c r="L29" s="690"/>
      <c r="M29" s="690"/>
      <c r="N29" s="691"/>
      <c r="O29" s="379"/>
      <c r="Q29" s="1"/>
      <c r="R29" s="1"/>
      <c r="S29" s="1"/>
      <c r="T29" s="1"/>
      <c r="U29" s="1"/>
      <c r="V29" s="1"/>
      <c r="W29" s="1"/>
      <c r="X29" s="1"/>
      <c r="Y29" s="1"/>
    </row>
    <row r="30" spans="1:25" ht="18.75" thickTop="1" thickBot="1" x14ac:dyDescent="0.35">
      <c r="A30" s="164"/>
      <c r="B30" s="151" t="s">
        <v>72</v>
      </c>
      <c r="C30" s="153">
        <v>5</v>
      </c>
      <c r="D30" s="686" t="s">
        <v>138</v>
      </c>
      <c r="E30" s="687"/>
      <c r="F30" s="687"/>
      <c r="G30" s="687"/>
      <c r="H30" s="687"/>
      <c r="I30" s="687"/>
      <c r="J30" s="687"/>
      <c r="K30" s="687"/>
      <c r="L30" s="687"/>
      <c r="M30" s="687"/>
      <c r="N30" s="688"/>
      <c r="O30" s="379"/>
      <c r="Q30" s="1"/>
      <c r="R30" s="1"/>
      <c r="S30" s="1"/>
      <c r="T30" s="1"/>
      <c r="U30" s="1"/>
      <c r="V30" s="1"/>
      <c r="W30" s="1"/>
      <c r="X30" s="1"/>
      <c r="Y30" s="1"/>
    </row>
    <row r="31" spans="1:25" ht="18.75" thickTop="1" thickBot="1" x14ac:dyDescent="0.35">
      <c r="A31" s="164"/>
      <c r="B31" s="151" t="s">
        <v>173</v>
      </c>
      <c r="C31" s="153">
        <v>4</v>
      </c>
      <c r="D31" s="689" t="s">
        <v>143</v>
      </c>
      <c r="E31" s="690"/>
      <c r="F31" s="690"/>
      <c r="G31" s="690"/>
      <c r="H31" s="690"/>
      <c r="I31" s="690"/>
      <c r="J31" s="690"/>
      <c r="K31" s="690"/>
      <c r="L31" s="690"/>
      <c r="M31" s="690"/>
      <c r="N31" s="691"/>
      <c r="O31" s="379"/>
      <c r="Q31" s="1"/>
      <c r="R31" s="1"/>
      <c r="S31" s="1"/>
      <c r="T31" s="1"/>
      <c r="U31" s="1"/>
      <c r="V31" s="1"/>
      <c r="W31" s="1"/>
      <c r="X31" s="1"/>
      <c r="Y31" s="1"/>
    </row>
    <row r="32" spans="1:25" ht="18.75" thickTop="1" thickBot="1" x14ac:dyDescent="0.35">
      <c r="A32" s="164"/>
      <c r="B32" s="151" t="s">
        <v>80</v>
      </c>
      <c r="C32" s="154">
        <v>0.9</v>
      </c>
      <c r="D32" s="692" t="s">
        <v>122</v>
      </c>
      <c r="E32" s="693"/>
      <c r="F32" s="693"/>
      <c r="G32" s="693"/>
      <c r="H32" s="693"/>
      <c r="I32" s="693"/>
      <c r="J32" s="693"/>
      <c r="K32" s="693"/>
      <c r="L32" s="693"/>
      <c r="M32" s="693"/>
      <c r="N32" s="694"/>
      <c r="O32" s="380"/>
      <c r="Q32" s="1"/>
      <c r="R32" s="1"/>
      <c r="S32" s="1"/>
      <c r="T32" s="1"/>
      <c r="U32" s="1"/>
      <c r="V32" s="1"/>
      <c r="W32" s="1"/>
      <c r="X32" s="1"/>
      <c r="Y32" s="1"/>
    </row>
    <row r="33" spans="1:25" ht="18.75" thickTop="1" thickBot="1" x14ac:dyDescent="0.35">
      <c r="A33" s="164"/>
      <c r="B33" s="151" t="s">
        <v>81</v>
      </c>
      <c r="C33" s="154">
        <v>0.75</v>
      </c>
      <c r="D33" s="695" t="s">
        <v>123</v>
      </c>
      <c r="E33" s="696"/>
      <c r="F33" s="696"/>
      <c r="G33" s="696"/>
      <c r="H33" s="696"/>
      <c r="I33" s="696"/>
      <c r="J33" s="696"/>
      <c r="K33" s="696"/>
      <c r="L33" s="696"/>
      <c r="M33" s="696"/>
      <c r="N33" s="697"/>
      <c r="O33" s="380"/>
      <c r="Q33" s="1"/>
      <c r="R33" s="1"/>
      <c r="S33" s="1"/>
      <c r="T33" s="1"/>
      <c r="U33" s="1"/>
      <c r="V33" s="1"/>
      <c r="W33" s="1"/>
      <c r="X33" s="1"/>
      <c r="Y33" s="1"/>
    </row>
    <row r="34" spans="1:25" ht="18.75" thickTop="1" thickBot="1" x14ac:dyDescent="0.35">
      <c r="A34" s="164"/>
      <c r="B34" s="151" t="s">
        <v>82</v>
      </c>
      <c r="C34" s="154">
        <v>0.7</v>
      </c>
      <c r="D34" s="692" t="s">
        <v>124</v>
      </c>
      <c r="E34" s="693"/>
      <c r="F34" s="693"/>
      <c r="G34" s="693"/>
      <c r="H34" s="693"/>
      <c r="I34" s="693"/>
      <c r="J34" s="693"/>
      <c r="K34" s="693"/>
      <c r="L34" s="693"/>
      <c r="M34" s="693"/>
      <c r="N34" s="694"/>
      <c r="O34" s="380"/>
      <c r="Q34" s="1"/>
      <c r="R34" s="1"/>
      <c r="S34" s="1"/>
      <c r="T34" s="1"/>
      <c r="U34" s="1"/>
      <c r="V34" s="1"/>
      <c r="W34" s="1"/>
      <c r="X34" s="1"/>
      <c r="Y34" s="1"/>
    </row>
    <row r="35" spans="1:25" ht="18.75" thickTop="1" thickBot="1" x14ac:dyDescent="0.35">
      <c r="A35" s="164"/>
      <c r="B35" s="158"/>
      <c r="C35" s="158"/>
      <c r="D35" s="161"/>
      <c r="E35" s="161"/>
      <c r="F35" s="161"/>
      <c r="G35" s="161"/>
      <c r="H35" s="161"/>
      <c r="I35" s="161"/>
      <c r="J35" s="161"/>
      <c r="K35" s="161"/>
      <c r="L35" s="161"/>
      <c r="M35" s="161"/>
      <c r="N35" s="161"/>
      <c r="O35" s="77"/>
      <c r="Q35" s="1"/>
      <c r="R35" s="1"/>
      <c r="S35" s="1"/>
      <c r="T35" s="1"/>
      <c r="U35" s="1"/>
      <c r="V35" s="1"/>
      <c r="W35" s="1"/>
      <c r="X35" s="1"/>
      <c r="Y35" s="1"/>
    </row>
    <row r="36" spans="1:25" ht="18.75" thickTop="1" thickBot="1" x14ac:dyDescent="0.35">
      <c r="A36" s="164"/>
      <c r="B36" s="150" t="s">
        <v>189</v>
      </c>
      <c r="C36" s="377"/>
      <c r="D36" s="698" t="s">
        <v>117</v>
      </c>
      <c r="E36" s="699"/>
      <c r="F36" s="699"/>
      <c r="G36" s="699"/>
      <c r="H36" s="699"/>
      <c r="I36" s="699"/>
      <c r="J36" s="699"/>
      <c r="K36" s="699"/>
      <c r="L36" s="699"/>
      <c r="M36" s="699"/>
      <c r="N36" s="700"/>
      <c r="O36" s="378"/>
      <c r="Q36" s="1"/>
      <c r="R36" s="1"/>
      <c r="S36" s="1"/>
      <c r="T36" s="1"/>
      <c r="U36" s="1"/>
      <c r="V36" s="1"/>
      <c r="W36" s="1"/>
      <c r="X36" s="1"/>
      <c r="Y36" s="1"/>
    </row>
    <row r="37" spans="1:25" ht="18.75" thickTop="1" thickBot="1" x14ac:dyDescent="0.35">
      <c r="A37" s="164"/>
      <c r="B37" s="151" t="s">
        <v>73</v>
      </c>
      <c r="C37" s="152" t="str">
        <f>IF(C4&gt;=4,(8760),"0")</f>
        <v>0</v>
      </c>
      <c r="D37" s="689" t="s">
        <v>136</v>
      </c>
      <c r="E37" s="690"/>
      <c r="F37" s="690"/>
      <c r="G37" s="690"/>
      <c r="H37" s="690"/>
      <c r="I37" s="690"/>
      <c r="J37" s="690"/>
      <c r="K37" s="690"/>
      <c r="L37" s="690"/>
      <c r="M37" s="690"/>
      <c r="N37" s="691"/>
      <c r="O37" s="379"/>
      <c r="Q37" s="1"/>
      <c r="R37" s="1"/>
      <c r="S37" s="1"/>
      <c r="T37" s="1"/>
      <c r="U37" s="1"/>
      <c r="V37" s="1"/>
      <c r="W37" s="1"/>
      <c r="X37" s="1"/>
      <c r="Y37" s="1"/>
    </row>
    <row r="38" spans="1:25" ht="18.75" thickTop="1" thickBot="1" x14ac:dyDescent="0.35">
      <c r="A38" s="164"/>
      <c r="B38" s="151" t="s">
        <v>84</v>
      </c>
      <c r="C38" s="153">
        <v>100</v>
      </c>
      <c r="D38" s="686" t="s">
        <v>182</v>
      </c>
      <c r="E38" s="687"/>
      <c r="F38" s="687"/>
      <c r="G38" s="687"/>
      <c r="H38" s="687"/>
      <c r="I38" s="687"/>
      <c r="J38" s="687"/>
      <c r="K38" s="687"/>
      <c r="L38" s="687"/>
      <c r="M38" s="687"/>
      <c r="N38" s="688"/>
      <c r="O38" s="379"/>
      <c r="Q38" s="1"/>
      <c r="R38" s="1"/>
      <c r="S38" s="1"/>
      <c r="T38" s="1"/>
      <c r="U38" s="1"/>
      <c r="V38" s="1"/>
      <c r="W38" s="1"/>
      <c r="X38" s="1"/>
      <c r="Y38" s="1"/>
    </row>
    <row r="39" spans="1:25" ht="18.75" thickTop="1" thickBot="1" x14ac:dyDescent="0.35">
      <c r="A39" s="164"/>
      <c r="B39" s="151" t="s">
        <v>79</v>
      </c>
      <c r="C39" s="153">
        <v>10</v>
      </c>
      <c r="D39" s="689" t="s">
        <v>137</v>
      </c>
      <c r="E39" s="690"/>
      <c r="F39" s="690"/>
      <c r="G39" s="690"/>
      <c r="H39" s="690"/>
      <c r="I39" s="690"/>
      <c r="J39" s="690"/>
      <c r="K39" s="690"/>
      <c r="L39" s="690"/>
      <c r="M39" s="690"/>
      <c r="N39" s="691"/>
      <c r="O39" s="379"/>
      <c r="Q39" s="1"/>
      <c r="R39" s="1"/>
      <c r="S39" s="1"/>
      <c r="T39" s="1"/>
      <c r="U39" s="1"/>
      <c r="V39" s="1"/>
      <c r="W39" s="1"/>
      <c r="X39" s="1"/>
      <c r="Y39" s="1"/>
    </row>
    <row r="40" spans="1:25" ht="18.75" thickTop="1" thickBot="1" x14ac:dyDescent="0.35">
      <c r="A40" s="164"/>
      <c r="B40" s="151" t="s">
        <v>72</v>
      </c>
      <c r="C40" s="153">
        <v>5</v>
      </c>
      <c r="D40" s="686" t="s">
        <v>138</v>
      </c>
      <c r="E40" s="687"/>
      <c r="F40" s="687"/>
      <c r="G40" s="687"/>
      <c r="H40" s="687"/>
      <c r="I40" s="687"/>
      <c r="J40" s="687"/>
      <c r="K40" s="687"/>
      <c r="L40" s="687"/>
      <c r="M40" s="687"/>
      <c r="N40" s="688"/>
      <c r="O40" s="379"/>
      <c r="Q40" s="1"/>
      <c r="R40" s="1"/>
      <c r="S40" s="1"/>
      <c r="T40" s="1"/>
      <c r="U40" s="1"/>
      <c r="V40" s="1"/>
      <c r="W40" s="1"/>
      <c r="X40" s="1"/>
      <c r="Y40" s="1"/>
    </row>
    <row r="41" spans="1:25" ht="18.75" thickTop="1" thickBot="1" x14ac:dyDescent="0.35">
      <c r="A41" s="164"/>
      <c r="B41" s="151" t="s">
        <v>173</v>
      </c>
      <c r="C41" s="153">
        <v>4</v>
      </c>
      <c r="D41" s="689" t="s">
        <v>143</v>
      </c>
      <c r="E41" s="690"/>
      <c r="F41" s="690"/>
      <c r="G41" s="690"/>
      <c r="H41" s="690"/>
      <c r="I41" s="690"/>
      <c r="J41" s="690"/>
      <c r="K41" s="690"/>
      <c r="L41" s="690"/>
      <c r="M41" s="690"/>
      <c r="N41" s="691"/>
      <c r="O41" s="379"/>
      <c r="Q41" s="1"/>
      <c r="R41" s="1"/>
      <c r="S41" s="1"/>
      <c r="T41" s="1"/>
      <c r="U41" s="1"/>
      <c r="V41" s="1"/>
      <c r="W41" s="1"/>
      <c r="X41" s="1"/>
      <c r="Y41" s="1"/>
    </row>
    <row r="42" spans="1:25" ht="18.75" thickTop="1" thickBot="1" x14ac:dyDescent="0.35">
      <c r="A42" s="164"/>
      <c r="B42" s="151" t="s">
        <v>80</v>
      </c>
      <c r="C42" s="154">
        <v>0.9</v>
      </c>
      <c r="D42" s="692" t="s">
        <v>122</v>
      </c>
      <c r="E42" s="693"/>
      <c r="F42" s="693"/>
      <c r="G42" s="693"/>
      <c r="H42" s="693"/>
      <c r="I42" s="693"/>
      <c r="J42" s="693"/>
      <c r="K42" s="693"/>
      <c r="L42" s="693"/>
      <c r="M42" s="693"/>
      <c r="N42" s="694"/>
      <c r="O42" s="380"/>
      <c r="Q42" s="1"/>
      <c r="R42" s="1"/>
      <c r="S42" s="1"/>
      <c r="T42" s="1"/>
      <c r="U42" s="1"/>
      <c r="V42" s="1"/>
      <c r="W42" s="1"/>
      <c r="X42" s="1"/>
      <c r="Y42" s="1"/>
    </row>
    <row r="43" spans="1:25" ht="18.75" thickTop="1" thickBot="1" x14ac:dyDescent="0.35">
      <c r="A43" s="164"/>
      <c r="B43" s="151" t="s">
        <v>81</v>
      </c>
      <c r="C43" s="154">
        <v>0.75</v>
      </c>
      <c r="D43" s="695" t="s">
        <v>123</v>
      </c>
      <c r="E43" s="696"/>
      <c r="F43" s="696"/>
      <c r="G43" s="696"/>
      <c r="H43" s="696"/>
      <c r="I43" s="696"/>
      <c r="J43" s="696"/>
      <c r="K43" s="696"/>
      <c r="L43" s="696"/>
      <c r="M43" s="696"/>
      <c r="N43" s="697"/>
      <c r="O43" s="380"/>
      <c r="Q43" s="1"/>
      <c r="R43" s="1"/>
      <c r="S43" s="1"/>
      <c r="T43" s="1"/>
      <c r="U43" s="1"/>
      <c r="V43" s="1"/>
      <c r="W43" s="1"/>
      <c r="X43" s="1"/>
      <c r="Y43" s="1"/>
    </row>
    <row r="44" spans="1:25" ht="18.75" thickTop="1" thickBot="1" x14ac:dyDescent="0.35">
      <c r="A44" s="164"/>
      <c r="B44" s="151" t="s">
        <v>82</v>
      </c>
      <c r="C44" s="154">
        <v>0.7</v>
      </c>
      <c r="D44" s="692" t="s">
        <v>124</v>
      </c>
      <c r="E44" s="693"/>
      <c r="F44" s="693"/>
      <c r="G44" s="693"/>
      <c r="H44" s="693"/>
      <c r="I44" s="693"/>
      <c r="J44" s="693"/>
      <c r="K44" s="693"/>
      <c r="L44" s="693"/>
      <c r="M44" s="693"/>
      <c r="N44" s="694"/>
      <c r="O44" s="380"/>
      <c r="Q44" s="1"/>
      <c r="R44" s="1"/>
      <c r="S44" s="1"/>
      <c r="T44" s="1"/>
      <c r="U44" s="1"/>
      <c r="V44" s="1"/>
      <c r="W44" s="1"/>
      <c r="X44" s="1"/>
      <c r="Y44" s="1"/>
    </row>
    <row r="45" spans="1:25" ht="18.75" thickTop="1" thickBot="1" x14ac:dyDescent="0.35">
      <c r="A45" s="164"/>
      <c r="B45" s="158"/>
      <c r="C45" s="158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77"/>
      <c r="Q45" s="1"/>
      <c r="R45" s="1"/>
      <c r="S45" s="1"/>
      <c r="T45" s="1"/>
      <c r="U45" s="1"/>
      <c r="V45" s="1"/>
      <c r="W45" s="1"/>
      <c r="X45" s="1"/>
      <c r="Y45" s="1"/>
    </row>
    <row r="46" spans="1:25" ht="18.75" thickTop="1" thickBot="1" x14ac:dyDescent="0.35">
      <c r="A46" s="164"/>
      <c r="B46" s="150" t="s">
        <v>190</v>
      </c>
      <c r="C46" s="377"/>
      <c r="D46" s="698" t="s">
        <v>117</v>
      </c>
      <c r="E46" s="699"/>
      <c r="F46" s="699"/>
      <c r="G46" s="699"/>
      <c r="H46" s="699"/>
      <c r="I46" s="699"/>
      <c r="J46" s="699"/>
      <c r="K46" s="699"/>
      <c r="L46" s="699"/>
      <c r="M46" s="699"/>
      <c r="N46" s="700"/>
      <c r="O46" s="378"/>
      <c r="Q46" s="1"/>
      <c r="R46" s="1"/>
      <c r="S46" s="1"/>
      <c r="T46" s="1"/>
      <c r="U46" s="1"/>
      <c r="V46" s="1"/>
      <c r="W46" s="1"/>
      <c r="X46" s="1"/>
      <c r="Y46" s="1"/>
    </row>
    <row r="47" spans="1:25" ht="18.75" thickTop="1" thickBot="1" x14ac:dyDescent="0.35">
      <c r="A47" s="164"/>
      <c r="B47" s="151" t="s">
        <v>73</v>
      </c>
      <c r="C47" s="152" t="str">
        <f>IF(C4&gt;=5,(8760),"0")</f>
        <v>0</v>
      </c>
      <c r="D47" s="689" t="s">
        <v>136</v>
      </c>
      <c r="E47" s="690"/>
      <c r="F47" s="690"/>
      <c r="G47" s="690"/>
      <c r="H47" s="690"/>
      <c r="I47" s="690"/>
      <c r="J47" s="690"/>
      <c r="K47" s="690"/>
      <c r="L47" s="690"/>
      <c r="M47" s="690"/>
      <c r="N47" s="691"/>
      <c r="O47" s="379"/>
      <c r="Q47" s="1"/>
      <c r="R47" s="1"/>
      <c r="S47" s="1"/>
      <c r="T47" s="1"/>
      <c r="U47" s="1"/>
      <c r="V47" s="1"/>
      <c r="W47" s="1"/>
      <c r="X47" s="1"/>
      <c r="Y47" s="1"/>
    </row>
    <row r="48" spans="1:25" ht="18.75" thickTop="1" thickBot="1" x14ac:dyDescent="0.35">
      <c r="A48" s="164"/>
      <c r="B48" s="151" t="s">
        <v>84</v>
      </c>
      <c r="C48" s="153">
        <v>100</v>
      </c>
      <c r="D48" s="686" t="s">
        <v>182</v>
      </c>
      <c r="E48" s="687"/>
      <c r="F48" s="687"/>
      <c r="G48" s="687"/>
      <c r="H48" s="687"/>
      <c r="I48" s="687"/>
      <c r="J48" s="687"/>
      <c r="K48" s="687"/>
      <c r="L48" s="687"/>
      <c r="M48" s="687"/>
      <c r="N48" s="688"/>
      <c r="O48" s="379"/>
      <c r="Q48" s="1"/>
      <c r="R48" s="1"/>
      <c r="S48" s="1"/>
      <c r="T48" s="1"/>
      <c r="U48" s="1"/>
      <c r="V48" s="1"/>
      <c r="W48" s="1"/>
      <c r="X48" s="1"/>
      <c r="Y48" s="1"/>
    </row>
    <row r="49" spans="1:27" ht="18.75" thickTop="1" thickBot="1" x14ac:dyDescent="0.35">
      <c r="A49" s="164"/>
      <c r="B49" s="151" t="s">
        <v>79</v>
      </c>
      <c r="C49" s="153">
        <v>10</v>
      </c>
      <c r="D49" s="689" t="s">
        <v>137</v>
      </c>
      <c r="E49" s="690"/>
      <c r="F49" s="690"/>
      <c r="G49" s="690"/>
      <c r="H49" s="690"/>
      <c r="I49" s="690"/>
      <c r="J49" s="690"/>
      <c r="K49" s="690"/>
      <c r="L49" s="690"/>
      <c r="M49" s="690"/>
      <c r="N49" s="691"/>
      <c r="O49" s="379"/>
      <c r="Q49" s="1"/>
      <c r="R49" s="1"/>
      <c r="S49" s="1"/>
      <c r="T49" s="1"/>
      <c r="U49" s="1"/>
      <c r="V49" s="1"/>
      <c r="W49" s="1"/>
      <c r="X49" s="1"/>
      <c r="Y49" s="1"/>
    </row>
    <row r="50" spans="1:27" ht="18.75" thickTop="1" thickBot="1" x14ac:dyDescent="0.35">
      <c r="A50" s="164"/>
      <c r="B50" s="151" t="s">
        <v>72</v>
      </c>
      <c r="C50" s="153">
        <v>5</v>
      </c>
      <c r="D50" s="686" t="s">
        <v>138</v>
      </c>
      <c r="E50" s="687"/>
      <c r="F50" s="687"/>
      <c r="G50" s="687"/>
      <c r="H50" s="687"/>
      <c r="I50" s="687"/>
      <c r="J50" s="687"/>
      <c r="K50" s="687"/>
      <c r="L50" s="687"/>
      <c r="M50" s="687"/>
      <c r="N50" s="688"/>
      <c r="O50" s="379"/>
      <c r="Q50" s="1"/>
      <c r="R50" s="1"/>
      <c r="S50" s="1"/>
      <c r="T50" s="1"/>
      <c r="U50" s="1"/>
      <c r="V50" s="1"/>
      <c r="W50" s="1"/>
      <c r="X50" s="1"/>
      <c r="Y50" s="1"/>
    </row>
    <row r="51" spans="1:27" ht="18.75" thickTop="1" thickBot="1" x14ac:dyDescent="0.35">
      <c r="A51" s="164"/>
      <c r="B51" s="151" t="s">
        <v>173</v>
      </c>
      <c r="C51" s="153">
        <v>4</v>
      </c>
      <c r="D51" s="689" t="s">
        <v>143</v>
      </c>
      <c r="E51" s="690"/>
      <c r="F51" s="690"/>
      <c r="G51" s="690"/>
      <c r="H51" s="690"/>
      <c r="I51" s="690"/>
      <c r="J51" s="690"/>
      <c r="K51" s="690"/>
      <c r="L51" s="690"/>
      <c r="M51" s="690"/>
      <c r="N51" s="691"/>
      <c r="O51" s="379"/>
      <c r="Q51" s="1"/>
      <c r="R51" s="1"/>
      <c r="S51" s="1"/>
      <c r="T51" s="1"/>
      <c r="U51" s="1"/>
      <c r="V51" s="1"/>
      <c r="W51" s="1"/>
      <c r="X51" s="1"/>
      <c r="Y51" s="1"/>
    </row>
    <row r="52" spans="1:27" ht="18.75" thickTop="1" thickBot="1" x14ac:dyDescent="0.35">
      <c r="A52" s="164"/>
      <c r="B52" s="151" t="s">
        <v>80</v>
      </c>
      <c r="C52" s="154">
        <v>0.9</v>
      </c>
      <c r="D52" s="692" t="s">
        <v>122</v>
      </c>
      <c r="E52" s="693"/>
      <c r="F52" s="693"/>
      <c r="G52" s="693"/>
      <c r="H52" s="693"/>
      <c r="I52" s="693"/>
      <c r="J52" s="693"/>
      <c r="K52" s="693"/>
      <c r="L52" s="693"/>
      <c r="M52" s="693"/>
      <c r="N52" s="694"/>
      <c r="O52" s="380"/>
      <c r="Q52" s="1"/>
      <c r="R52" s="1"/>
      <c r="S52" s="1"/>
      <c r="T52" s="1"/>
      <c r="U52" s="1"/>
      <c r="V52" s="1"/>
      <c r="W52" s="1"/>
      <c r="X52" s="1"/>
      <c r="Y52" s="1"/>
    </row>
    <row r="53" spans="1:27" ht="18.75" thickTop="1" thickBot="1" x14ac:dyDescent="0.35">
      <c r="A53" s="164"/>
      <c r="B53" s="151" t="s">
        <v>81</v>
      </c>
      <c r="C53" s="154">
        <v>0.75</v>
      </c>
      <c r="D53" s="695" t="s">
        <v>123</v>
      </c>
      <c r="E53" s="696"/>
      <c r="F53" s="696"/>
      <c r="G53" s="696"/>
      <c r="H53" s="696"/>
      <c r="I53" s="696"/>
      <c r="J53" s="696"/>
      <c r="K53" s="696"/>
      <c r="L53" s="696"/>
      <c r="M53" s="696"/>
      <c r="N53" s="697"/>
      <c r="O53" s="380"/>
      <c r="Q53" s="1"/>
      <c r="R53" s="1"/>
      <c r="S53" s="1"/>
      <c r="T53" s="1"/>
      <c r="U53" s="1"/>
      <c r="V53" s="1"/>
      <c r="W53" s="1"/>
      <c r="X53" s="1"/>
      <c r="Y53" s="1"/>
    </row>
    <row r="54" spans="1:27" ht="18.75" thickTop="1" thickBot="1" x14ac:dyDescent="0.35">
      <c r="A54" s="164"/>
      <c r="B54" s="151" t="s">
        <v>82</v>
      </c>
      <c r="C54" s="154">
        <v>0.7</v>
      </c>
      <c r="D54" s="695" t="s">
        <v>124</v>
      </c>
      <c r="E54" s="696"/>
      <c r="F54" s="696"/>
      <c r="G54" s="696"/>
      <c r="H54" s="696"/>
      <c r="I54" s="696"/>
      <c r="J54" s="696"/>
      <c r="K54" s="696"/>
      <c r="L54" s="696"/>
      <c r="M54" s="696"/>
      <c r="N54" s="697"/>
      <c r="O54" s="380"/>
      <c r="Q54" s="1"/>
      <c r="R54" s="1"/>
      <c r="S54" s="1"/>
      <c r="T54" s="1"/>
      <c r="U54" s="1"/>
      <c r="V54" s="1"/>
      <c r="W54" s="1"/>
      <c r="X54" s="1"/>
      <c r="Y54" s="1"/>
    </row>
    <row r="55" spans="1:27" ht="18.75" thickTop="1" thickBot="1" x14ac:dyDescent="0.35">
      <c r="A55" s="381"/>
      <c r="B55" s="161"/>
      <c r="C55" s="161"/>
      <c r="D55" s="161"/>
      <c r="E55" s="161"/>
      <c r="F55" s="161"/>
      <c r="G55" s="161"/>
      <c r="H55" s="161"/>
      <c r="I55" s="161"/>
      <c r="J55" s="161"/>
      <c r="K55" s="161"/>
      <c r="L55" s="161"/>
      <c r="M55" s="161"/>
      <c r="N55" s="161"/>
      <c r="O55" s="165"/>
      <c r="Q55" s="1"/>
      <c r="R55" s="1"/>
      <c r="S55" s="1"/>
      <c r="T55" s="1"/>
      <c r="U55" s="1"/>
      <c r="V55" s="1"/>
      <c r="W55" s="1"/>
      <c r="X55" s="1"/>
      <c r="Y55" s="1"/>
    </row>
    <row r="56" spans="1:27" s="20" customFormat="1" ht="18" thickTop="1" x14ac:dyDescent="0.3">
      <c r="A56" s="160"/>
      <c r="B56" s="160"/>
      <c r="C56" s="160"/>
      <c r="D56" s="160"/>
      <c r="E56" s="160"/>
      <c r="F56" s="160"/>
      <c r="G56" s="160"/>
      <c r="H56" s="160"/>
      <c r="I56" s="160"/>
      <c r="J56" s="160"/>
      <c r="K56" s="160"/>
      <c r="L56" s="160"/>
      <c r="M56" s="160"/>
      <c r="N56" s="160"/>
      <c r="P56" s="26"/>
    </row>
    <row r="57" spans="1:27" s="20" customFormat="1" ht="17.25" x14ac:dyDescent="0.3">
      <c r="A57" s="160"/>
      <c r="B57" s="160"/>
      <c r="C57" s="160"/>
      <c r="D57" s="160"/>
      <c r="E57" s="160"/>
      <c r="F57" s="160"/>
      <c r="G57" s="160"/>
      <c r="H57" s="160"/>
      <c r="I57" s="160"/>
      <c r="J57" s="160"/>
      <c r="K57" s="160"/>
      <c r="L57" s="160"/>
      <c r="M57" s="160"/>
      <c r="N57" s="160"/>
      <c r="P57" s="26"/>
    </row>
    <row r="58" spans="1:27" s="20" customFormat="1" ht="17.25" x14ac:dyDescent="0.3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N58" s="160"/>
      <c r="P58" s="26"/>
    </row>
    <row r="59" spans="1:27" s="20" customFormat="1" ht="17.25" x14ac:dyDescent="0.3">
      <c r="A59" s="160"/>
      <c r="B59" s="160"/>
      <c r="C59" s="160"/>
      <c r="D59" s="160"/>
      <c r="E59" s="160"/>
      <c r="F59" s="160"/>
      <c r="G59" s="160"/>
      <c r="H59" s="160"/>
      <c r="I59" s="160"/>
      <c r="J59" s="160"/>
      <c r="K59" s="160"/>
      <c r="L59" s="160"/>
      <c r="M59" s="160"/>
      <c r="N59" s="160"/>
      <c r="P59" s="26"/>
    </row>
    <row r="60" spans="1:27" s="20" customFormat="1" ht="17.25" x14ac:dyDescent="0.3">
      <c r="A60" s="160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0"/>
      <c r="N60" s="160"/>
      <c r="P60" s="26"/>
    </row>
    <row r="61" spans="1:27" s="20" customFormat="1" ht="17.25" x14ac:dyDescent="0.3">
      <c r="A61" s="160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0"/>
      <c r="N61" s="160"/>
      <c r="P61" s="26"/>
    </row>
    <row r="62" spans="1:27" s="20" customFormat="1" ht="17.25" x14ac:dyDescent="0.3">
      <c r="A62" s="160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0"/>
      <c r="N62" s="160"/>
      <c r="P62" s="26"/>
    </row>
    <row r="63" spans="1:27" ht="18" thickBot="1" x14ac:dyDescent="0.35">
      <c r="A63" s="161"/>
      <c r="B63" s="161"/>
      <c r="C63" s="161"/>
      <c r="D63" s="161"/>
      <c r="E63" s="161"/>
      <c r="F63" s="161"/>
      <c r="G63" s="161"/>
      <c r="H63" s="161"/>
      <c r="I63" s="161"/>
      <c r="J63" s="161"/>
      <c r="K63" s="161"/>
      <c r="L63" s="161"/>
      <c r="M63" s="161"/>
      <c r="N63" s="161"/>
      <c r="O63" s="73"/>
      <c r="P63" s="26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8.75" thickTop="1" thickBot="1" x14ac:dyDescent="0.35">
      <c r="A64" s="164"/>
      <c r="B64" s="158"/>
      <c r="C64" s="158"/>
      <c r="D64" s="161"/>
      <c r="E64" s="161"/>
      <c r="F64" s="161"/>
      <c r="G64" s="161"/>
      <c r="H64" s="161"/>
      <c r="I64" s="161"/>
      <c r="J64" s="161"/>
      <c r="K64" s="161"/>
      <c r="L64" s="161"/>
      <c r="M64" s="161"/>
      <c r="N64" s="161"/>
      <c r="O64" s="77"/>
      <c r="Q64" s="26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8.75" thickTop="1" thickBot="1" x14ac:dyDescent="0.35">
      <c r="A65" s="164"/>
      <c r="B65" s="150" t="s">
        <v>191</v>
      </c>
      <c r="C65" s="377"/>
      <c r="D65" s="698" t="s">
        <v>117</v>
      </c>
      <c r="E65" s="699"/>
      <c r="F65" s="699"/>
      <c r="G65" s="699"/>
      <c r="H65" s="699"/>
      <c r="I65" s="699"/>
      <c r="J65" s="699"/>
      <c r="K65" s="699"/>
      <c r="L65" s="699"/>
      <c r="M65" s="699"/>
      <c r="N65" s="700"/>
      <c r="O65" s="378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8.75" thickTop="1" thickBot="1" x14ac:dyDescent="0.35">
      <c r="A66" s="164"/>
      <c r="B66" s="151" t="s">
        <v>73</v>
      </c>
      <c r="C66" s="152" t="str">
        <f>IF(C4&gt;=7,(8760),"0")</f>
        <v>0</v>
      </c>
      <c r="D66" s="689" t="s">
        <v>136</v>
      </c>
      <c r="E66" s="690"/>
      <c r="F66" s="690"/>
      <c r="G66" s="690"/>
      <c r="H66" s="690"/>
      <c r="I66" s="690"/>
      <c r="J66" s="690"/>
      <c r="K66" s="690"/>
      <c r="L66" s="690"/>
      <c r="M66" s="690"/>
      <c r="N66" s="691"/>
      <c r="O66" s="379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8.75" thickTop="1" thickBot="1" x14ac:dyDescent="0.35">
      <c r="A67" s="164"/>
      <c r="B67" s="151" t="s">
        <v>84</v>
      </c>
      <c r="C67" s="153">
        <v>100</v>
      </c>
      <c r="D67" s="686" t="s">
        <v>182</v>
      </c>
      <c r="E67" s="687"/>
      <c r="F67" s="687"/>
      <c r="G67" s="687"/>
      <c r="H67" s="687"/>
      <c r="I67" s="687"/>
      <c r="J67" s="687"/>
      <c r="K67" s="687"/>
      <c r="L67" s="687"/>
      <c r="M67" s="687"/>
      <c r="N67" s="688"/>
      <c r="O67" s="379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8.75" thickTop="1" thickBot="1" x14ac:dyDescent="0.35">
      <c r="A68" s="164"/>
      <c r="B68" s="151" t="s">
        <v>79</v>
      </c>
      <c r="C68" s="153">
        <v>10</v>
      </c>
      <c r="D68" s="689" t="s">
        <v>137</v>
      </c>
      <c r="E68" s="690"/>
      <c r="F68" s="690"/>
      <c r="G68" s="690"/>
      <c r="H68" s="690"/>
      <c r="I68" s="690"/>
      <c r="J68" s="690"/>
      <c r="K68" s="690"/>
      <c r="L68" s="690"/>
      <c r="M68" s="690"/>
      <c r="N68" s="691"/>
      <c r="O68" s="379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8.75" thickTop="1" thickBot="1" x14ac:dyDescent="0.35">
      <c r="A69" s="164"/>
      <c r="B69" s="151" t="s">
        <v>72</v>
      </c>
      <c r="C69" s="153">
        <v>5</v>
      </c>
      <c r="D69" s="686" t="s">
        <v>138</v>
      </c>
      <c r="E69" s="687"/>
      <c r="F69" s="687"/>
      <c r="G69" s="687"/>
      <c r="H69" s="687"/>
      <c r="I69" s="687"/>
      <c r="J69" s="687"/>
      <c r="K69" s="687"/>
      <c r="L69" s="687"/>
      <c r="M69" s="687"/>
      <c r="N69" s="688"/>
      <c r="O69" s="379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8.75" thickTop="1" thickBot="1" x14ac:dyDescent="0.35">
      <c r="A70" s="164"/>
      <c r="B70" s="151" t="s">
        <v>173</v>
      </c>
      <c r="C70" s="153">
        <v>4</v>
      </c>
      <c r="D70" s="689" t="s">
        <v>143</v>
      </c>
      <c r="E70" s="690"/>
      <c r="F70" s="690"/>
      <c r="G70" s="690"/>
      <c r="H70" s="690"/>
      <c r="I70" s="690"/>
      <c r="J70" s="690"/>
      <c r="K70" s="690"/>
      <c r="L70" s="690"/>
      <c r="M70" s="690"/>
      <c r="N70" s="691"/>
      <c r="O70" s="379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8.75" thickTop="1" thickBot="1" x14ac:dyDescent="0.35">
      <c r="A71" s="164"/>
      <c r="B71" s="151" t="s">
        <v>80</v>
      </c>
      <c r="C71" s="154">
        <v>0.9</v>
      </c>
      <c r="D71" s="692" t="s">
        <v>122</v>
      </c>
      <c r="E71" s="693"/>
      <c r="F71" s="693"/>
      <c r="G71" s="693"/>
      <c r="H71" s="693"/>
      <c r="I71" s="693"/>
      <c r="J71" s="693"/>
      <c r="K71" s="693"/>
      <c r="L71" s="693"/>
      <c r="M71" s="693"/>
      <c r="N71" s="694"/>
      <c r="O71" s="380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8.75" thickTop="1" thickBot="1" x14ac:dyDescent="0.35">
      <c r="A72" s="164"/>
      <c r="B72" s="151" t="s">
        <v>81</v>
      </c>
      <c r="C72" s="154">
        <v>0.75</v>
      </c>
      <c r="D72" s="695" t="s">
        <v>123</v>
      </c>
      <c r="E72" s="696"/>
      <c r="F72" s="696"/>
      <c r="G72" s="696"/>
      <c r="H72" s="696"/>
      <c r="I72" s="696"/>
      <c r="J72" s="696"/>
      <c r="K72" s="696"/>
      <c r="L72" s="696"/>
      <c r="M72" s="696"/>
      <c r="N72" s="697"/>
      <c r="O72" s="380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8.75" thickTop="1" thickBot="1" x14ac:dyDescent="0.35">
      <c r="A73" s="164"/>
      <c r="B73" s="151" t="s">
        <v>82</v>
      </c>
      <c r="C73" s="154">
        <v>0.7</v>
      </c>
      <c r="D73" s="692" t="s">
        <v>124</v>
      </c>
      <c r="E73" s="693"/>
      <c r="F73" s="693"/>
      <c r="G73" s="693"/>
      <c r="H73" s="693"/>
      <c r="I73" s="693"/>
      <c r="J73" s="693"/>
      <c r="K73" s="693"/>
      <c r="L73" s="693"/>
      <c r="M73" s="693"/>
      <c r="N73" s="694"/>
      <c r="O73" s="380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8.75" thickTop="1" thickBot="1" x14ac:dyDescent="0.35">
      <c r="A74" s="164"/>
      <c r="B74" s="158"/>
      <c r="C74" s="158"/>
      <c r="D74" s="161"/>
      <c r="E74" s="161"/>
      <c r="F74" s="161"/>
      <c r="G74" s="161"/>
      <c r="H74" s="161"/>
      <c r="I74" s="161"/>
      <c r="J74" s="161"/>
      <c r="K74" s="161"/>
      <c r="L74" s="161"/>
      <c r="M74" s="161"/>
      <c r="N74" s="161"/>
      <c r="O74" s="77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8.75" thickTop="1" thickBot="1" x14ac:dyDescent="0.35">
      <c r="A75" s="164"/>
      <c r="B75" s="150" t="s">
        <v>192</v>
      </c>
      <c r="C75" s="377"/>
      <c r="D75" s="698" t="s">
        <v>117</v>
      </c>
      <c r="E75" s="699"/>
      <c r="F75" s="699"/>
      <c r="G75" s="699"/>
      <c r="H75" s="699"/>
      <c r="I75" s="699"/>
      <c r="J75" s="699"/>
      <c r="K75" s="699"/>
      <c r="L75" s="699"/>
      <c r="M75" s="699"/>
      <c r="N75" s="700"/>
      <c r="O75" s="378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8.75" thickTop="1" thickBot="1" x14ac:dyDescent="0.35">
      <c r="A76" s="164"/>
      <c r="B76" s="151" t="s">
        <v>73</v>
      </c>
      <c r="C76" s="152" t="str">
        <f>IF(C4&gt;=8,(8760),"0")</f>
        <v>0</v>
      </c>
      <c r="D76" s="689" t="s">
        <v>136</v>
      </c>
      <c r="E76" s="690"/>
      <c r="F76" s="690"/>
      <c r="G76" s="690"/>
      <c r="H76" s="690"/>
      <c r="I76" s="690"/>
      <c r="J76" s="690"/>
      <c r="K76" s="690"/>
      <c r="L76" s="690"/>
      <c r="M76" s="690"/>
      <c r="N76" s="691"/>
      <c r="O76" s="379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8.75" thickTop="1" thickBot="1" x14ac:dyDescent="0.35">
      <c r="A77" s="164"/>
      <c r="B77" s="151" t="s">
        <v>84</v>
      </c>
      <c r="C77" s="153">
        <v>100</v>
      </c>
      <c r="D77" s="686" t="s">
        <v>182</v>
      </c>
      <c r="E77" s="687"/>
      <c r="F77" s="687"/>
      <c r="G77" s="687"/>
      <c r="H77" s="687"/>
      <c r="I77" s="687"/>
      <c r="J77" s="687"/>
      <c r="K77" s="687"/>
      <c r="L77" s="687"/>
      <c r="M77" s="687"/>
      <c r="N77" s="688"/>
      <c r="O77" s="379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8.75" thickTop="1" thickBot="1" x14ac:dyDescent="0.35">
      <c r="A78" s="164"/>
      <c r="B78" s="151" t="s">
        <v>79</v>
      </c>
      <c r="C78" s="153">
        <v>10</v>
      </c>
      <c r="D78" s="689" t="s">
        <v>137</v>
      </c>
      <c r="E78" s="690"/>
      <c r="F78" s="690"/>
      <c r="G78" s="690"/>
      <c r="H78" s="690"/>
      <c r="I78" s="690"/>
      <c r="J78" s="690"/>
      <c r="K78" s="690"/>
      <c r="L78" s="690"/>
      <c r="M78" s="690"/>
      <c r="N78" s="691"/>
      <c r="O78" s="379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8.75" thickTop="1" thickBot="1" x14ac:dyDescent="0.35">
      <c r="A79" s="164"/>
      <c r="B79" s="151" t="s">
        <v>72</v>
      </c>
      <c r="C79" s="153">
        <v>5</v>
      </c>
      <c r="D79" s="686" t="s">
        <v>138</v>
      </c>
      <c r="E79" s="687"/>
      <c r="F79" s="687"/>
      <c r="G79" s="687"/>
      <c r="H79" s="687"/>
      <c r="I79" s="687"/>
      <c r="J79" s="687"/>
      <c r="K79" s="687"/>
      <c r="L79" s="687"/>
      <c r="M79" s="687"/>
      <c r="N79" s="688"/>
      <c r="O79" s="379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8.75" thickTop="1" thickBot="1" x14ac:dyDescent="0.35">
      <c r="A80" s="164"/>
      <c r="B80" s="151" t="s">
        <v>173</v>
      </c>
      <c r="C80" s="153">
        <v>4</v>
      </c>
      <c r="D80" s="689" t="s">
        <v>143</v>
      </c>
      <c r="E80" s="690"/>
      <c r="F80" s="690"/>
      <c r="G80" s="690"/>
      <c r="H80" s="690"/>
      <c r="I80" s="690"/>
      <c r="J80" s="690"/>
      <c r="K80" s="690"/>
      <c r="L80" s="690"/>
      <c r="M80" s="690"/>
      <c r="N80" s="691"/>
      <c r="O80" s="379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8.75" thickTop="1" thickBot="1" x14ac:dyDescent="0.35">
      <c r="A81" s="164"/>
      <c r="B81" s="151" t="s">
        <v>80</v>
      </c>
      <c r="C81" s="154">
        <v>0.9</v>
      </c>
      <c r="D81" s="692" t="s">
        <v>122</v>
      </c>
      <c r="E81" s="693"/>
      <c r="F81" s="693"/>
      <c r="G81" s="693"/>
      <c r="H81" s="693"/>
      <c r="I81" s="693"/>
      <c r="J81" s="693"/>
      <c r="K81" s="693"/>
      <c r="L81" s="693"/>
      <c r="M81" s="693"/>
      <c r="N81" s="694"/>
      <c r="O81" s="380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8.75" thickTop="1" thickBot="1" x14ac:dyDescent="0.35">
      <c r="A82" s="164"/>
      <c r="B82" s="151" t="s">
        <v>81</v>
      </c>
      <c r="C82" s="154">
        <v>0.75</v>
      </c>
      <c r="D82" s="692" t="s">
        <v>123</v>
      </c>
      <c r="E82" s="693"/>
      <c r="F82" s="693"/>
      <c r="G82" s="693"/>
      <c r="H82" s="693"/>
      <c r="I82" s="693"/>
      <c r="J82" s="693"/>
      <c r="K82" s="693"/>
      <c r="L82" s="693"/>
      <c r="M82" s="693"/>
      <c r="N82" s="694"/>
      <c r="O82" s="380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8.75" thickTop="1" thickBot="1" x14ac:dyDescent="0.35">
      <c r="A83" s="164"/>
      <c r="B83" s="151" t="s">
        <v>82</v>
      </c>
      <c r="C83" s="154">
        <v>0.7</v>
      </c>
      <c r="D83" s="695" t="s">
        <v>124</v>
      </c>
      <c r="E83" s="696"/>
      <c r="F83" s="696"/>
      <c r="G83" s="696"/>
      <c r="H83" s="696"/>
      <c r="I83" s="696"/>
      <c r="J83" s="696"/>
      <c r="K83" s="696"/>
      <c r="L83" s="696"/>
      <c r="M83" s="696"/>
      <c r="N83" s="697"/>
      <c r="O83" s="380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8.75" thickTop="1" thickBot="1" x14ac:dyDescent="0.35">
      <c r="A84" s="164"/>
      <c r="B84" s="161"/>
      <c r="C84" s="161"/>
      <c r="D84" s="161"/>
      <c r="E84" s="161"/>
      <c r="F84" s="161"/>
      <c r="G84" s="161"/>
      <c r="H84" s="161"/>
      <c r="I84" s="161"/>
      <c r="J84" s="161"/>
      <c r="K84" s="161"/>
      <c r="L84" s="161"/>
      <c r="M84" s="161"/>
      <c r="N84" s="161"/>
      <c r="O84" s="77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8.75" thickTop="1" thickBot="1" x14ac:dyDescent="0.35">
      <c r="A85" s="164"/>
      <c r="B85" s="155" t="s">
        <v>193</v>
      </c>
      <c r="C85" s="377"/>
      <c r="D85" s="698" t="s">
        <v>117</v>
      </c>
      <c r="E85" s="699"/>
      <c r="F85" s="699"/>
      <c r="G85" s="699"/>
      <c r="H85" s="699"/>
      <c r="I85" s="699"/>
      <c r="J85" s="699"/>
      <c r="K85" s="699"/>
      <c r="L85" s="699"/>
      <c r="M85" s="699"/>
      <c r="N85" s="700"/>
      <c r="O85" s="378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8.75" thickTop="1" thickBot="1" x14ac:dyDescent="0.35">
      <c r="A86" s="164"/>
      <c r="B86" s="151" t="s">
        <v>73</v>
      </c>
      <c r="C86" s="152" t="str">
        <f>IF(C4&gt;=9,(8760),"0")</f>
        <v>0</v>
      </c>
      <c r="D86" s="689" t="s">
        <v>136</v>
      </c>
      <c r="E86" s="690"/>
      <c r="F86" s="690"/>
      <c r="G86" s="690"/>
      <c r="H86" s="690"/>
      <c r="I86" s="690"/>
      <c r="J86" s="690"/>
      <c r="K86" s="690"/>
      <c r="L86" s="690"/>
      <c r="M86" s="690"/>
      <c r="N86" s="691"/>
      <c r="O86" s="379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8.75" thickTop="1" thickBot="1" x14ac:dyDescent="0.35">
      <c r="A87" s="164"/>
      <c r="B87" s="151" t="s">
        <v>84</v>
      </c>
      <c r="C87" s="153">
        <v>100</v>
      </c>
      <c r="D87" s="686" t="s">
        <v>182</v>
      </c>
      <c r="E87" s="687"/>
      <c r="F87" s="687"/>
      <c r="G87" s="687"/>
      <c r="H87" s="687"/>
      <c r="I87" s="687"/>
      <c r="J87" s="687"/>
      <c r="K87" s="687"/>
      <c r="L87" s="687"/>
      <c r="M87" s="687"/>
      <c r="N87" s="688"/>
      <c r="O87" s="379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8.75" thickTop="1" thickBot="1" x14ac:dyDescent="0.35">
      <c r="A88" s="164"/>
      <c r="B88" s="151" t="s">
        <v>79</v>
      </c>
      <c r="C88" s="153">
        <v>10</v>
      </c>
      <c r="D88" s="689" t="s">
        <v>137</v>
      </c>
      <c r="E88" s="690"/>
      <c r="F88" s="690"/>
      <c r="G88" s="690"/>
      <c r="H88" s="690"/>
      <c r="I88" s="690"/>
      <c r="J88" s="690"/>
      <c r="K88" s="690"/>
      <c r="L88" s="690"/>
      <c r="M88" s="690"/>
      <c r="N88" s="691"/>
      <c r="O88" s="379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8.75" thickTop="1" thickBot="1" x14ac:dyDescent="0.35">
      <c r="A89" s="164"/>
      <c r="B89" s="151" t="s">
        <v>72</v>
      </c>
      <c r="C89" s="153">
        <v>5</v>
      </c>
      <c r="D89" s="686" t="s">
        <v>138</v>
      </c>
      <c r="E89" s="687"/>
      <c r="F89" s="687"/>
      <c r="G89" s="687"/>
      <c r="H89" s="687"/>
      <c r="I89" s="687"/>
      <c r="J89" s="687"/>
      <c r="K89" s="687"/>
      <c r="L89" s="687"/>
      <c r="M89" s="687"/>
      <c r="N89" s="688"/>
      <c r="O89" s="379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8.75" thickTop="1" thickBot="1" x14ac:dyDescent="0.35">
      <c r="A90" s="164"/>
      <c r="B90" s="151" t="s">
        <v>173</v>
      </c>
      <c r="C90" s="153">
        <v>4</v>
      </c>
      <c r="D90" s="689" t="s">
        <v>143</v>
      </c>
      <c r="E90" s="690"/>
      <c r="F90" s="690"/>
      <c r="G90" s="690"/>
      <c r="H90" s="690"/>
      <c r="I90" s="690"/>
      <c r="J90" s="690"/>
      <c r="K90" s="690"/>
      <c r="L90" s="690"/>
      <c r="M90" s="690"/>
      <c r="N90" s="691"/>
      <c r="O90" s="379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8.75" thickTop="1" thickBot="1" x14ac:dyDescent="0.35">
      <c r="A91" s="164"/>
      <c r="B91" s="151" t="s">
        <v>80</v>
      </c>
      <c r="C91" s="154">
        <v>0.9</v>
      </c>
      <c r="D91" s="692" t="s">
        <v>122</v>
      </c>
      <c r="E91" s="693"/>
      <c r="F91" s="693"/>
      <c r="G91" s="693"/>
      <c r="H91" s="693"/>
      <c r="I91" s="693"/>
      <c r="J91" s="693"/>
      <c r="K91" s="693"/>
      <c r="L91" s="693"/>
      <c r="M91" s="693"/>
      <c r="N91" s="694"/>
      <c r="O91" s="380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8.75" thickTop="1" thickBot="1" x14ac:dyDescent="0.35">
      <c r="A92" s="164"/>
      <c r="B92" s="151" t="s">
        <v>81</v>
      </c>
      <c r="C92" s="154">
        <v>0.75</v>
      </c>
      <c r="D92" s="692" t="s">
        <v>123</v>
      </c>
      <c r="E92" s="693"/>
      <c r="F92" s="693"/>
      <c r="G92" s="693"/>
      <c r="H92" s="693"/>
      <c r="I92" s="693"/>
      <c r="J92" s="693"/>
      <c r="K92" s="693"/>
      <c r="L92" s="693"/>
      <c r="M92" s="693"/>
      <c r="N92" s="694"/>
      <c r="O92" s="380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8.75" thickTop="1" thickBot="1" x14ac:dyDescent="0.35">
      <c r="A93" s="164"/>
      <c r="B93" s="151" t="s">
        <v>82</v>
      </c>
      <c r="C93" s="154">
        <v>0.7</v>
      </c>
      <c r="D93" s="695" t="s">
        <v>124</v>
      </c>
      <c r="E93" s="696"/>
      <c r="F93" s="696"/>
      <c r="G93" s="696"/>
      <c r="H93" s="696"/>
      <c r="I93" s="696"/>
      <c r="J93" s="696"/>
      <c r="K93" s="696"/>
      <c r="L93" s="696"/>
      <c r="M93" s="696"/>
      <c r="N93" s="697"/>
      <c r="O93" s="380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8.75" thickTop="1" thickBot="1" x14ac:dyDescent="0.35">
      <c r="A94" s="164"/>
      <c r="B94" s="158"/>
      <c r="C94" s="158"/>
      <c r="D94" s="161"/>
      <c r="E94" s="161"/>
      <c r="F94" s="161"/>
      <c r="G94" s="161"/>
      <c r="H94" s="161"/>
      <c r="I94" s="161"/>
      <c r="J94" s="161"/>
      <c r="K94" s="161"/>
      <c r="L94" s="161"/>
      <c r="M94" s="161"/>
      <c r="N94" s="161"/>
      <c r="O94" s="77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8.75" thickTop="1" thickBot="1" x14ac:dyDescent="0.35">
      <c r="A95" s="164"/>
      <c r="B95" s="150" t="s">
        <v>194</v>
      </c>
      <c r="C95" s="377"/>
      <c r="D95" s="698" t="s">
        <v>117</v>
      </c>
      <c r="E95" s="699"/>
      <c r="F95" s="699"/>
      <c r="G95" s="699"/>
      <c r="H95" s="699"/>
      <c r="I95" s="699"/>
      <c r="J95" s="699"/>
      <c r="K95" s="699"/>
      <c r="L95" s="699"/>
      <c r="M95" s="699"/>
      <c r="N95" s="700"/>
      <c r="O95" s="378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8.75" thickTop="1" thickBot="1" x14ac:dyDescent="0.35">
      <c r="A96" s="164"/>
      <c r="B96" s="151" t="s">
        <v>73</v>
      </c>
      <c r="C96" s="152" t="str">
        <f>IF(C4&gt;=10,(8760),"0")</f>
        <v>0</v>
      </c>
      <c r="D96" s="689" t="s">
        <v>136</v>
      </c>
      <c r="E96" s="690"/>
      <c r="F96" s="690"/>
      <c r="G96" s="690"/>
      <c r="H96" s="690"/>
      <c r="I96" s="690"/>
      <c r="J96" s="690"/>
      <c r="K96" s="690"/>
      <c r="L96" s="690"/>
      <c r="M96" s="690"/>
      <c r="N96" s="691"/>
      <c r="O96" s="379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8.75" thickTop="1" thickBot="1" x14ac:dyDescent="0.35">
      <c r="A97" s="164"/>
      <c r="B97" s="151" t="s">
        <v>84</v>
      </c>
      <c r="C97" s="153">
        <v>100</v>
      </c>
      <c r="D97" s="686" t="s">
        <v>182</v>
      </c>
      <c r="E97" s="687"/>
      <c r="F97" s="687"/>
      <c r="G97" s="687"/>
      <c r="H97" s="687"/>
      <c r="I97" s="687"/>
      <c r="J97" s="687"/>
      <c r="K97" s="687"/>
      <c r="L97" s="687"/>
      <c r="M97" s="687"/>
      <c r="N97" s="688"/>
      <c r="O97" s="379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8.75" thickTop="1" thickBot="1" x14ac:dyDescent="0.35">
      <c r="A98" s="164"/>
      <c r="B98" s="151" t="s">
        <v>79</v>
      </c>
      <c r="C98" s="153">
        <v>10</v>
      </c>
      <c r="D98" s="689" t="s">
        <v>137</v>
      </c>
      <c r="E98" s="690"/>
      <c r="F98" s="690"/>
      <c r="G98" s="690"/>
      <c r="H98" s="690"/>
      <c r="I98" s="690"/>
      <c r="J98" s="690"/>
      <c r="K98" s="690"/>
      <c r="L98" s="690"/>
      <c r="M98" s="690"/>
      <c r="N98" s="691"/>
      <c r="O98" s="379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8.75" thickTop="1" thickBot="1" x14ac:dyDescent="0.35">
      <c r="A99" s="164"/>
      <c r="B99" s="151" t="s">
        <v>72</v>
      </c>
      <c r="C99" s="153">
        <v>5</v>
      </c>
      <c r="D99" s="686" t="s">
        <v>138</v>
      </c>
      <c r="E99" s="687"/>
      <c r="F99" s="687"/>
      <c r="G99" s="687"/>
      <c r="H99" s="687"/>
      <c r="I99" s="687"/>
      <c r="J99" s="687"/>
      <c r="K99" s="687"/>
      <c r="L99" s="687"/>
      <c r="M99" s="687"/>
      <c r="N99" s="688"/>
      <c r="O99" s="379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8.75" thickTop="1" thickBot="1" x14ac:dyDescent="0.35">
      <c r="A100" s="164"/>
      <c r="B100" s="151" t="s">
        <v>173</v>
      </c>
      <c r="C100" s="153">
        <v>4</v>
      </c>
      <c r="D100" s="689" t="s">
        <v>143</v>
      </c>
      <c r="E100" s="690"/>
      <c r="F100" s="690"/>
      <c r="G100" s="690"/>
      <c r="H100" s="690"/>
      <c r="I100" s="690"/>
      <c r="J100" s="690"/>
      <c r="K100" s="690"/>
      <c r="L100" s="690"/>
      <c r="M100" s="690"/>
      <c r="N100" s="691"/>
      <c r="O100" s="379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8.75" thickTop="1" thickBot="1" x14ac:dyDescent="0.35">
      <c r="A101" s="164"/>
      <c r="B101" s="151" t="s">
        <v>80</v>
      </c>
      <c r="C101" s="154">
        <v>0.9</v>
      </c>
      <c r="D101" s="692" t="s">
        <v>122</v>
      </c>
      <c r="E101" s="693"/>
      <c r="F101" s="693"/>
      <c r="G101" s="693"/>
      <c r="H101" s="693"/>
      <c r="I101" s="693"/>
      <c r="J101" s="693"/>
      <c r="K101" s="693"/>
      <c r="L101" s="693"/>
      <c r="M101" s="693"/>
      <c r="N101" s="694"/>
      <c r="O101" s="380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8.75" thickTop="1" thickBot="1" x14ac:dyDescent="0.35">
      <c r="A102" s="164"/>
      <c r="B102" s="151" t="s">
        <v>81</v>
      </c>
      <c r="C102" s="154">
        <v>0.75</v>
      </c>
      <c r="D102" s="695" t="s">
        <v>123</v>
      </c>
      <c r="E102" s="696"/>
      <c r="F102" s="696"/>
      <c r="G102" s="696"/>
      <c r="H102" s="696"/>
      <c r="I102" s="696"/>
      <c r="J102" s="696"/>
      <c r="K102" s="696"/>
      <c r="L102" s="696"/>
      <c r="M102" s="696"/>
      <c r="N102" s="697"/>
      <c r="O102" s="380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8.75" thickTop="1" thickBot="1" x14ac:dyDescent="0.35">
      <c r="A103" s="164"/>
      <c r="B103" s="151" t="s">
        <v>82</v>
      </c>
      <c r="C103" s="154">
        <v>0.7</v>
      </c>
      <c r="D103" s="692" t="s">
        <v>124</v>
      </c>
      <c r="E103" s="693"/>
      <c r="F103" s="693"/>
      <c r="G103" s="693"/>
      <c r="H103" s="693"/>
      <c r="I103" s="693"/>
      <c r="J103" s="693"/>
      <c r="K103" s="693"/>
      <c r="L103" s="693"/>
      <c r="M103" s="693"/>
      <c r="N103" s="694"/>
      <c r="O103" s="380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8.75" thickTop="1" thickBot="1" x14ac:dyDescent="0.35">
      <c r="A104" s="164"/>
      <c r="B104" s="158"/>
      <c r="C104" s="158"/>
      <c r="D104" s="161"/>
      <c r="E104" s="161"/>
      <c r="F104" s="161"/>
      <c r="G104" s="161"/>
      <c r="H104" s="161"/>
      <c r="I104" s="161"/>
      <c r="J104" s="161"/>
      <c r="K104" s="161"/>
      <c r="L104" s="161"/>
      <c r="M104" s="161"/>
      <c r="N104" s="161"/>
      <c r="O104" s="77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8.75" thickTop="1" thickBot="1" x14ac:dyDescent="0.35">
      <c r="A105" s="164"/>
      <c r="B105" s="150" t="s">
        <v>195</v>
      </c>
      <c r="C105" s="377"/>
      <c r="D105" s="698" t="s">
        <v>117</v>
      </c>
      <c r="E105" s="699"/>
      <c r="F105" s="699"/>
      <c r="G105" s="699"/>
      <c r="H105" s="699"/>
      <c r="I105" s="699"/>
      <c r="J105" s="699"/>
      <c r="K105" s="699"/>
      <c r="L105" s="699"/>
      <c r="M105" s="699"/>
      <c r="N105" s="700"/>
      <c r="O105" s="378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8.75" thickTop="1" thickBot="1" x14ac:dyDescent="0.35">
      <c r="A106" s="164"/>
      <c r="B106" s="151" t="s">
        <v>73</v>
      </c>
      <c r="C106" s="152" t="str">
        <f>IF(C4&gt;=11,(8760),"0")</f>
        <v>0</v>
      </c>
      <c r="D106" s="689" t="s">
        <v>136</v>
      </c>
      <c r="E106" s="690"/>
      <c r="F106" s="690"/>
      <c r="G106" s="690"/>
      <c r="H106" s="690"/>
      <c r="I106" s="690"/>
      <c r="J106" s="690"/>
      <c r="K106" s="690"/>
      <c r="L106" s="690"/>
      <c r="M106" s="690"/>
      <c r="N106" s="691"/>
      <c r="O106" s="379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8.75" thickTop="1" thickBot="1" x14ac:dyDescent="0.35">
      <c r="A107" s="164"/>
      <c r="B107" s="151" t="s">
        <v>84</v>
      </c>
      <c r="C107" s="153">
        <v>100</v>
      </c>
      <c r="D107" s="686" t="s">
        <v>182</v>
      </c>
      <c r="E107" s="687"/>
      <c r="F107" s="687"/>
      <c r="G107" s="687"/>
      <c r="H107" s="687"/>
      <c r="I107" s="687"/>
      <c r="J107" s="687"/>
      <c r="K107" s="687"/>
      <c r="L107" s="687"/>
      <c r="M107" s="687"/>
      <c r="N107" s="688"/>
      <c r="O107" s="379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8.75" thickTop="1" thickBot="1" x14ac:dyDescent="0.35">
      <c r="A108" s="164"/>
      <c r="B108" s="151" t="s">
        <v>79</v>
      </c>
      <c r="C108" s="153">
        <v>10</v>
      </c>
      <c r="D108" s="689" t="s">
        <v>137</v>
      </c>
      <c r="E108" s="690"/>
      <c r="F108" s="690"/>
      <c r="G108" s="690"/>
      <c r="H108" s="690"/>
      <c r="I108" s="690"/>
      <c r="J108" s="690"/>
      <c r="K108" s="690"/>
      <c r="L108" s="690"/>
      <c r="M108" s="690"/>
      <c r="N108" s="691"/>
      <c r="O108" s="379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8.75" thickTop="1" thickBot="1" x14ac:dyDescent="0.35">
      <c r="A109" s="164"/>
      <c r="B109" s="151" t="s">
        <v>72</v>
      </c>
      <c r="C109" s="153">
        <v>5</v>
      </c>
      <c r="D109" s="686" t="s">
        <v>138</v>
      </c>
      <c r="E109" s="687"/>
      <c r="F109" s="687"/>
      <c r="G109" s="687"/>
      <c r="H109" s="687"/>
      <c r="I109" s="687"/>
      <c r="J109" s="687"/>
      <c r="K109" s="687"/>
      <c r="L109" s="687"/>
      <c r="M109" s="687"/>
      <c r="N109" s="688"/>
      <c r="O109" s="379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8.75" thickTop="1" thickBot="1" x14ac:dyDescent="0.35">
      <c r="A110" s="164"/>
      <c r="B110" s="151" t="s">
        <v>173</v>
      </c>
      <c r="C110" s="153">
        <v>4</v>
      </c>
      <c r="D110" s="689" t="s">
        <v>143</v>
      </c>
      <c r="E110" s="690"/>
      <c r="F110" s="690"/>
      <c r="G110" s="690"/>
      <c r="H110" s="690"/>
      <c r="I110" s="690"/>
      <c r="J110" s="690"/>
      <c r="K110" s="690"/>
      <c r="L110" s="690"/>
      <c r="M110" s="690"/>
      <c r="N110" s="691"/>
      <c r="O110" s="379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8.75" thickTop="1" thickBot="1" x14ac:dyDescent="0.35">
      <c r="A111" s="164"/>
      <c r="B111" s="151" t="s">
        <v>80</v>
      </c>
      <c r="C111" s="154">
        <v>0.9</v>
      </c>
      <c r="D111" s="692" t="s">
        <v>122</v>
      </c>
      <c r="E111" s="693"/>
      <c r="F111" s="693"/>
      <c r="G111" s="693"/>
      <c r="H111" s="693"/>
      <c r="I111" s="693"/>
      <c r="J111" s="693"/>
      <c r="K111" s="693"/>
      <c r="L111" s="693"/>
      <c r="M111" s="693"/>
      <c r="N111" s="694"/>
      <c r="O111" s="380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8.75" thickTop="1" thickBot="1" x14ac:dyDescent="0.35">
      <c r="A112" s="164"/>
      <c r="B112" s="151" t="s">
        <v>81</v>
      </c>
      <c r="C112" s="154">
        <v>0.75</v>
      </c>
      <c r="D112" s="695" t="s">
        <v>123</v>
      </c>
      <c r="E112" s="696"/>
      <c r="F112" s="696"/>
      <c r="G112" s="696"/>
      <c r="H112" s="696"/>
      <c r="I112" s="696"/>
      <c r="J112" s="696"/>
      <c r="K112" s="696"/>
      <c r="L112" s="696"/>
      <c r="M112" s="696"/>
      <c r="N112" s="697"/>
      <c r="O112" s="380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8.75" thickTop="1" thickBot="1" x14ac:dyDescent="0.35">
      <c r="A113" s="164"/>
      <c r="B113" s="151" t="s">
        <v>82</v>
      </c>
      <c r="C113" s="154">
        <v>0.7</v>
      </c>
      <c r="D113" s="692" t="s">
        <v>124</v>
      </c>
      <c r="E113" s="693"/>
      <c r="F113" s="693"/>
      <c r="G113" s="693"/>
      <c r="H113" s="693"/>
      <c r="I113" s="693"/>
      <c r="J113" s="693"/>
      <c r="K113" s="693"/>
      <c r="L113" s="693"/>
      <c r="M113" s="693"/>
      <c r="N113" s="694"/>
      <c r="O113" s="380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8.75" thickTop="1" thickBot="1" x14ac:dyDescent="0.35">
      <c r="A114" s="381"/>
      <c r="B114" s="161"/>
      <c r="C114" s="161"/>
      <c r="D114" s="161"/>
      <c r="E114" s="161"/>
      <c r="F114" s="161"/>
      <c r="G114" s="161"/>
      <c r="H114" s="161"/>
      <c r="I114" s="161"/>
      <c r="J114" s="161"/>
      <c r="K114" s="161"/>
      <c r="L114" s="161"/>
      <c r="M114" s="161"/>
      <c r="N114" s="161"/>
      <c r="O114" s="165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3.5" thickTop="1" x14ac:dyDescent="0.2">
      <c r="A115" s="382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</row>
  </sheetData>
  <sheetProtection selectLockedCells="1"/>
  <protectedRanges>
    <protectedRange sqref="C4" name="Range3"/>
    <protectedRange sqref="C8:C14 C18:C24 C28:C34 C38:C44 C48:C54 C107:C113 C67:C73 C77:C83 C87:C93 C97:C103" name="Range1"/>
    <protectedRange sqref="C8:C14 C18:C24 C28:C34 C38:C44 C48:C54 C107:C113 C67:C73 C77:C83 C87:C93 C97:C103" name="Range2"/>
  </protectedRanges>
  <mergeCells count="93">
    <mergeCell ref="A2:B2"/>
    <mergeCell ref="D4:N4"/>
    <mergeCell ref="A1:O1"/>
    <mergeCell ref="D23:N23"/>
    <mergeCell ref="D24:N24"/>
    <mergeCell ref="D11:N11"/>
    <mergeCell ref="D12:N12"/>
    <mergeCell ref="D13:N13"/>
    <mergeCell ref="D14:N14"/>
    <mergeCell ref="D6:N6"/>
    <mergeCell ref="D7:N7"/>
    <mergeCell ref="D8:N8"/>
    <mergeCell ref="D9:N9"/>
    <mergeCell ref="D10:N10"/>
    <mergeCell ref="D26:N26"/>
    <mergeCell ref="D27:N27"/>
    <mergeCell ref="D28:N28"/>
    <mergeCell ref="D29:N29"/>
    <mergeCell ref="D16:N16"/>
    <mergeCell ref="D17:N17"/>
    <mergeCell ref="D18:N18"/>
    <mergeCell ref="D19:N19"/>
    <mergeCell ref="D20:N20"/>
    <mergeCell ref="D21:N21"/>
    <mergeCell ref="D22:N22"/>
    <mergeCell ref="D42:N42"/>
    <mergeCell ref="D30:N30"/>
    <mergeCell ref="D31:N31"/>
    <mergeCell ref="D32:N32"/>
    <mergeCell ref="D33:N33"/>
    <mergeCell ref="D34:N34"/>
    <mergeCell ref="D36:N36"/>
    <mergeCell ref="D37:N37"/>
    <mergeCell ref="D38:N38"/>
    <mergeCell ref="D39:N39"/>
    <mergeCell ref="D40:N40"/>
    <mergeCell ref="D41:N41"/>
    <mergeCell ref="D43:N43"/>
    <mergeCell ref="D44:N44"/>
    <mergeCell ref="D46:N46"/>
    <mergeCell ref="D47:N47"/>
    <mergeCell ref="D48:N48"/>
    <mergeCell ref="D49:N49"/>
    <mergeCell ref="D65:N65"/>
    <mergeCell ref="D66:N66"/>
    <mergeCell ref="D67:N67"/>
    <mergeCell ref="D68:N68"/>
    <mergeCell ref="D50:N50"/>
    <mergeCell ref="D51:N51"/>
    <mergeCell ref="D52:N52"/>
    <mergeCell ref="D53:N53"/>
    <mergeCell ref="D54:N54"/>
    <mergeCell ref="D81:N81"/>
    <mergeCell ref="D69:N69"/>
    <mergeCell ref="D70:N70"/>
    <mergeCell ref="D71:N71"/>
    <mergeCell ref="D72:N72"/>
    <mergeCell ref="D73:N73"/>
    <mergeCell ref="D75:N75"/>
    <mergeCell ref="D76:N76"/>
    <mergeCell ref="D77:N77"/>
    <mergeCell ref="D78:N78"/>
    <mergeCell ref="D79:N79"/>
    <mergeCell ref="D80:N80"/>
    <mergeCell ref="D95:N95"/>
    <mergeCell ref="D82:N82"/>
    <mergeCell ref="D83:N83"/>
    <mergeCell ref="D85:N85"/>
    <mergeCell ref="D86:N86"/>
    <mergeCell ref="D87:N87"/>
    <mergeCell ref="D88:N88"/>
    <mergeCell ref="D89:N89"/>
    <mergeCell ref="D90:N90"/>
    <mergeCell ref="D91:N91"/>
    <mergeCell ref="D92:N92"/>
    <mergeCell ref="D93:N93"/>
    <mergeCell ref="D108:N108"/>
    <mergeCell ref="D96:N96"/>
    <mergeCell ref="D97:N97"/>
    <mergeCell ref="D98:N98"/>
    <mergeCell ref="D99:N99"/>
    <mergeCell ref="D100:N100"/>
    <mergeCell ref="D101:N101"/>
    <mergeCell ref="D102:N102"/>
    <mergeCell ref="D103:N103"/>
    <mergeCell ref="D105:N105"/>
    <mergeCell ref="D106:N106"/>
    <mergeCell ref="D107:N107"/>
    <mergeCell ref="D109:N109"/>
    <mergeCell ref="D110:N110"/>
    <mergeCell ref="D111:N111"/>
    <mergeCell ref="D112:N112"/>
    <mergeCell ref="D113:N113"/>
  </mergeCells>
  <pageMargins left="0.25" right="0.25" top="0.75" bottom="0.75" header="0.3" footer="0.3"/>
  <pageSetup scale="59" fitToHeight="0" orientation="portrait" r:id="rId1"/>
  <rowBreaks count="1" manualBreakCount="1">
    <brk id="62" max="16383" man="1"/>
  </rowBreaks>
  <colBreaks count="1" manualBreakCount="1">
    <brk id="16" max="1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38"/>
  <sheetViews>
    <sheetView topLeftCell="A13" zoomScale="90" zoomScaleNormal="90" workbookViewId="0">
      <selection activeCell="H27" sqref="H27"/>
    </sheetView>
  </sheetViews>
  <sheetFormatPr defaultRowHeight="12.75" x14ac:dyDescent="0.2"/>
  <cols>
    <col min="1" max="1" width="9.7109375" customWidth="1"/>
    <col min="2" max="2" width="2.28515625" customWidth="1"/>
    <col min="3" max="3" width="24.28515625" customWidth="1"/>
    <col min="4" max="4" width="2.85546875" customWidth="1"/>
    <col min="5" max="5" width="14" style="2" customWidth="1"/>
    <col min="6" max="6" width="2.7109375" style="17" customWidth="1"/>
    <col min="7" max="7" width="14.7109375" style="17" customWidth="1"/>
    <col min="8" max="8" width="2.7109375" style="17" customWidth="1"/>
    <col min="9" max="9" width="15" customWidth="1"/>
    <col min="10" max="10" width="2.140625" customWidth="1"/>
    <col min="11" max="11" width="2.5703125" customWidth="1"/>
    <col min="12" max="12" width="2.7109375" customWidth="1"/>
    <col min="13" max="13" width="15" customWidth="1"/>
    <col min="14" max="14" width="2.85546875" customWidth="1"/>
    <col min="15" max="15" width="13.85546875" customWidth="1"/>
    <col min="16" max="16" width="2.5703125" customWidth="1"/>
    <col min="17" max="17" width="14.5703125" customWidth="1"/>
    <col min="18" max="18" width="2.42578125" customWidth="1"/>
    <col min="19" max="22" width="10.85546875" bestFit="1" customWidth="1"/>
    <col min="23" max="24" width="10.85546875" customWidth="1"/>
    <col min="25" max="25" width="2.85546875" customWidth="1"/>
  </cols>
  <sheetData>
    <row r="1" spans="1:26" ht="18" thickBot="1" x14ac:dyDescent="0.35">
      <c r="A1" s="288"/>
      <c r="B1" s="385"/>
      <c r="C1" s="243"/>
      <c r="D1" s="386"/>
      <c r="E1" s="178"/>
      <c r="F1" s="289"/>
      <c r="G1" s="289"/>
      <c r="H1" s="289"/>
      <c r="I1" s="289"/>
      <c r="J1" s="289"/>
      <c r="K1" s="289"/>
      <c r="L1" s="289"/>
      <c r="M1" s="289"/>
      <c r="N1" s="289"/>
      <c r="O1" s="289"/>
      <c r="P1" s="289"/>
      <c r="Q1" s="289"/>
      <c r="R1" s="289"/>
      <c r="S1" s="290"/>
      <c r="T1" s="1"/>
      <c r="U1" s="1"/>
      <c r="V1" s="40"/>
      <c r="W1" s="40"/>
      <c r="X1" s="40"/>
      <c r="Y1" s="40"/>
    </row>
    <row r="2" spans="1:26" ht="31.5" thickTop="1" x14ac:dyDescent="0.55000000000000004">
      <c r="A2" s="179"/>
      <c r="B2" s="325"/>
      <c r="C2" s="384" t="s">
        <v>40</v>
      </c>
      <c r="D2" s="387"/>
      <c r="E2" s="726" t="s">
        <v>370</v>
      </c>
      <c r="F2" s="727"/>
      <c r="G2" s="727"/>
      <c r="H2" s="727"/>
      <c r="I2" s="727"/>
      <c r="J2" s="727"/>
      <c r="K2" s="727"/>
      <c r="L2" s="727"/>
      <c r="M2" s="727"/>
      <c r="N2" s="727"/>
      <c r="O2" s="727"/>
      <c r="P2" s="727"/>
      <c r="Q2" s="727"/>
      <c r="R2" s="181"/>
      <c r="S2" s="182"/>
      <c r="T2" s="1"/>
      <c r="U2" s="1"/>
      <c r="V2" s="40"/>
      <c r="W2" s="40"/>
      <c r="X2" s="40"/>
      <c r="Y2" s="40"/>
    </row>
    <row r="3" spans="1:26" ht="31.5" thickBot="1" x14ac:dyDescent="0.6">
      <c r="A3" s="179"/>
      <c r="B3" s="325"/>
      <c r="C3" s="642" t="str">
        <f>Input!B7</f>
        <v>55555, 55556, 55557</v>
      </c>
      <c r="D3" s="387"/>
      <c r="E3" s="726" t="s">
        <v>345</v>
      </c>
      <c r="F3" s="727"/>
      <c r="G3" s="727"/>
      <c r="H3" s="727"/>
      <c r="I3" s="727"/>
      <c r="J3" s="727"/>
      <c r="K3" s="727"/>
      <c r="L3" s="727"/>
      <c r="M3" s="727"/>
      <c r="N3" s="727"/>
      <c r="O3" s="727"/>
      <c r="P3" s="727"/>
      <c r="Q3" s="727"/>
      <c r="R3" s="727"/>
      <c r="S3" s="182"/>
      <c r="T3" s="1"/>
      <c r="U3" s="1"/>
      <c r="V3" s="40"/>
      <c r="W3" s="40"/>
      <c r="X3" s="40"/>
      <c r="Y3" s="40"/>
    </row>
    <row r="4" spans="1:26" ht="16.5" customHeight="1" thickTop="1" thickBot="1" x14ac:dyDescent="0.55000000000000004">
      <c r="A4" s="179"/>
      <c r="B4" s="327"/>
      <c r="C4" s="254"/>
      <c r="D4" s="388"/>
      <c r="E4" s="728"/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182"/>
      <c r="T4" s="26"/>
      <c r="U4" s="1"/>
      <c r="V4" s="40"/>
      <c r="W4" s="40"/>
      <c r="X4" s="40"/>
      <c r="Y4" s="40"/>
    </row>
    <row r="5" spans="1:26" ht="18" customHeight="1" thickTop="1" thickBot="1" x14ac:dyDescent="0.55000000000000004">
      <c r="A5" s="179"/>
      <c r="B5" s="19"/>
      <c r="C5" s="383"/>
      <c r="D5" s="383"/>
      <c r="E5" s="383"/>
      <c r="F5" s="383"/>
      <c r="G5" s="383"/>
      <c r="H5" s="383"/>
      <c r="I5" s="383"/>
      <c r="J5" s="383"/>
      <c r="K5" s="383"/>
      <c r="L5" s="383"/>
      <c r="M5" s="383"/>
      <c r="N5" s="383"/>
      <c r="O5" s="383"/>
      <c r="P5" s="383"/>
      <c r="Q5" s="383"/>
      <c r="R5" s="383"/>
      <c r="S5" s="182"/>
      <c r="T5" s="40"/>
      <c r="U5" s="40"/>
      <c r="V5" s="40"/>
      <c r="W5" s="40"/>
      <c r="X5" s="40"/>
      <c r="Y5" s="40"/>
    </row>
    <row r="6" spans="1:26" ht="15" customHeight="1" thickTop="1" thickBot="1" x14ac:dyDescent="0.35">
      <c r="A6" s="179"/>
      <c r="B6" s="389"/>
      <c r="C6" s="189"/>
      <c r="D6" s="189"/>
      <c r="E6" s="233"/>
      <c r="F6" s="233"/>
      <c r="G6" s="233"/>
      <c r="H6" s="233"/>
      <c r="I6" s="189"/>
      <c r="J6" s="189"/>
      <c r="K6" s="189"/>
      <c r="L6" s="189"/>
      <c r="M6" s="189"/>
      <c r="N6" s="189"/>
      <c r="O6" s="189"/>
      <c r="P6" s="189"/>
      <c r="Q6" s="189"/>
      <c r="R6" s="390"/>
      <c r="S6" s="183"/>
      <c r="T6" s="30"/>
      <c r="U6" s="30"/>
      <c r="V6" s="30"/>
      <c r="W6" s="30"/>
      <c r="X6" s="30"/>
      <c r="Y6" s="26"/>
    </row>
    <row r="7" spans="1:26" ht="18.75" thickTop="1" thickBot="1" x14ac:dyDescent="0.35">
      <c r="A7" s="179"/>
      <c r="B7" s="325"/>
      <c r="C7" s="711" t="s">
        <v>175</v>
      </c>
      <c r="D7" s="391"/>
      <c r="E7" s="705" t="s">
        <v>174</v>
      </c>
      <c r="F7" s="706"/>
      <c r="G7" s="706"/>
      <c r="H7" s="706"/>
      <c r="I7" s="706"/>
      <c r="J7" s="706"/>
      <c r="K7" s="706"/>
      <c r="L7" s="706"/>
      <c r="M7" s="706"/>
      <c r="N7" s="706"/>
      <c r="O7" s="706"/>
      <c r="P7" s="706"/>
      <c r="Q7" s="707"/>
      <c r="R7" s="392"/>
      <c r="S7" s="183"/>
      <c r="T7" s="36"/>
      <c r="U7" s="36"/>
      <c r="V7" s="36"/>
      <c r="W7" s="36"/>
      <c r="X7" s="36"/>
      <c r="Y7" s="26"/>
      <c r="Z7" s="23"/>
    </row>
    <row r="8" spans="1:26" ht="18.75" thickTop="1" thickBot="1" x14ac:dyDescent="0.35">
      <c r="A8" s="179"/>
      <c r="B8" s="325"/>
      <c r="C8" s="712"/>
      <c r="D8" s="391"/>
      <c r="E8" s="173" t="s">
        <v>48</v>
      </c>
      <c r="F8" s="391"/>
      <c r="G8" s="173" t="s">
        <v>61</v>
      </c>
      <c r="H8" s="391"/>
      <c r="I8" s="174" t="s">
        <v>53</v>
      </c>
      <c r="J8" s="393"/>
      <c r="K8" s="285"/>
      <c r="L8" s="392"/>
      <c r="M8" s="173" t="s">
        <v>44</v>
      </c>
      <c r="N8" s="391"/>
      <c r="O8" s="174" t="s">
        <v>351</v>
      </c>
      <c r="P8" s="391"/>
      <c r="Q8" s="173" t="s">
        <v>352</v>
      </c>
      <c r="R8" s="392"/>
      <c r="S8" s="183"/>
      <c r="T8" s="29"/>
      <c r="U8" s="29"/>
      <c r="V8" s="29"/>
      <c r="W8" s="29"/>
      <c r="X8" s="29"/>
      <c r="Y8" s="26"/>
    </row>
    <row r="9" spans="1:26" ht="18.75" thickTop="1" thickBot="1" x14ac:dyDescent="0.35">
      <c r="A9" s="179"/>
      <c r="B9" s="325"/>
      <c r="C9" s="394" t="s">
        <v>105</v>
      </c>
      <c r="D9" s="395"/>
      <c r="E9" s="396">
        <f>'OilCondensate Tanks'!Q23</f>
        <v>0.16340102354544869</v>
      </c>
      <c r="F9" s="708"/>
      <c r="G9" s="396">
        <f>'OilCondensate Tanks'!Q30</f>
        <v>3.0667963594558079E-2</v>
      </c>
      <c r="H9" s="709"/>
      <c r="I9" s="396">
        <f>'OilCondensate Tanks'!P37</f>
        <v>2.9060364833499993E-2</v>
      </c>
      <c r="J9" s="397"/>
      <c r="K9" s="257"/>
      <c r="L9" s="710"/>
      <c r="M9" s="396">
        <f>'OilCondensate Tanks'!P44</f>
        <v>6.410374595624998E-3</v>
      </c>
      <c r="N9" s="709"/>
      <c r="O9" s="398" t="s">
        <v>161</v>
      </c>
      <c r="P9" s="708"/>
      <c r="Q9" s="398" t="s">
        <v>161</v>
      </c>
      <c r="R9" s="399"/>
      <c r="S9" s="183"/>
      <c r="T9" s="31"/>
      <c r="U9" s="31"/>
      <c r="V9" s="31"/>
      <c r="W9" s="31"/>
      <c r="X9" s="31"/>
      <c r="Y9" s="26"/>
    </row>
    <row r="10" spans="1:26" ht="18.75" thickTop="1" thickBot="1" x14ac:dyDescent="0.35">
      <c r="A10" s="179"/>
      <c r="B10" s="325"/>
      <c r="C10" s="394" t="s">
        <v>62</v>
      </c>
      <c r="D10" s="395"/>
      <c r="E10" s="398">
        <f>'Treater Flare'!O23</f>
        <v>7.322851186147763</v>
      </c>
      <c r="F10" s="708"/>
      <c r="G10" s="398">
        <f>'Treater Flare'!O30</f>
        <v>1.3743912290897111</v>
      </c>
      <c r="H10" s="709"/>
      <c r="I10" s="398">
        <f>'Treater Flare'!N52</f>
        <v>1.3023463529999999</v>
      </c>
      <c r="J10" s="397"/>
      <c r="K10" s="257"/>
      <c r="L10" s="710"/>
      <c r="M10" s="398">
        <f>'Treater Flare'!N59</f>
        <v>0.28728228374999998</v>
      </c>
      <c r="N10" s="709"/>
      <c r="O10" s="398">
        <f>'Treater Flare'!O37</f>
        <v>0</v>
      </c>
      <c r="P10" s="708"/>
      <c r="Q10" s="398">
        <f>'Treater Flare'!O44</f>
        <v>0</v>
      </c>
      <c r="R10" s="399"/>
      <c r="S10" s="183"/>
      <c r="T10" s="31"/>
      <c r="U10" s="31"/>
      <c r="V10" s="31"/>
      <c r="W10" s="31"/>
      <c r="X10" s="31"/>
      <c r="Y10" s="26"/>
    </row>
    <row r="11" spans="1:26" ht="18.75" thickTop="1" thickBot="1" x14ac:dyDescent="0.35">
      <c r="A11" s="179"/>
      <c r="B11" s="325"/>
      <c r="C11" s="394" t="s">
        <v>63</v>
      </c>
      <c r="D11" s="395"/>
      <c r="E11" s="398">
        <f>'Treater Burner'!N40</f>
        <v>2.3617647058823528E-2</v>
      </c>
      <c r="F11" s="708"/>
      <c r="G11" s="398">
        <f>'Treater Burner'!N42</f>
        <v>8.1158823529411759E-3</v>
      </c>
      <c r="H11" s="709"/>
      <c r="I11" s="398">
        <f>'Treater Burner'!N36</f>
        <v>0.42941176470588233</v>
      </c>
      <c r="J11" s="397"/>
      <c r="K11" s="257"/>
      <c r="L11" s="710"/>
      <c r="M11" s="398">
        <f>'Treater Burner'!N38</f>
        <v>0.36070588235294115</v>
      </c>
      <c r="N11" s="709"/>
      <c r="O11" s="398" t="s">
        <v>161</v>
      </c>
      <c r="P11" s="708"/>
      <c r="Q11" s="398" t="s">
        <v>161</v>
      </c>
      <c r="R11" s="399"/>
      <c r="S11" s="183"/>
      <c r="T11" s="31"/>
      <c r="U11" s="31"/>
      <c r="V11" s="31"/>
      <c r="W11" s="31"/>
      <c r="X11" s="31"/>
      <c r="Y11" s="26"/>
    </row>
    <row r="12" spans="1:26" ht="18.75" thickTop="1" thickBot="1" x14ac:dyDescent="0.35">
      <c r="A12" s="179"/>
      <c r="B12" s="325"/>
      <c r="C12" s="394" t="s">
        <v>66</v>
      </c>
      <c r="D12" s="395"/>
      <c r="E12" s="398">
        <f>'RICE Engine'!T122</f>
        <v>0</v>
      </c>
      <c r="F12" s="708"/>
      <c r="G12" s="398" t="s">
        <v>75</v>
      </c>
      <c r="H12" s="709"/>
      <c r="I12" s="398">
        <f>'RICE Engine'!T118</f>
        <v>0</v>
      </c>
      <c r="J12" s="397"/>
      <c r="K12" s="257"/>
      <c r="L12" s="710"/>
      <c r="M12" s="398">
        <f>'RICE Engine'!T120</f>
        <v>0</v>
      </c>
      <c r="N12" s="709"/>
      <c r="O12" s="257"/>
      <c r="P12" s="257"/>
      <c r="Q12" s="257"/>
      <c r="R12" s="399"/>
      <c r="S12" s="183"/>
      <c r="T12" s="31"/>
      <c r="U12" s="31"/>
      <c r="V12" s="31"/>
      <c r="W12" s="31"/>
      <c r="X12" s="31"/>
      <c r="Y12" s="26"/>
    </row>
    <row r="13" spans="1:26" ht="18.75" thickTop="1" thickBot="1" x14ac:dyDescent="0.35">
      <c r="A13" s="179"/>
      <c r="B13" s="325"/>
      <c r="C13" s="394" t="s">
        <v>64</v>
      </c>
      <c r="D13" s="395"/>
      <c r="E13" s="398">
        <f>'Truck Loading'!H21</f>
        <v>2.9996764106399998</v>
      </c>
      <c r="F13" s="708"/>
      <c r="G13" s="398" t="s">
        <v>75</v>
      </c>
      <c r="H13" s="709"/>
      <c r="I13" s="400"/>
      <c r="J13" s="257"/>
      <c r="K13" s="257"/>
      <c r="L13" s="257"/>
      <c r="M13" s="400"/>
      <c r="N13" s="257"/>
      <c r="O13" s="257"/>
      <c r="P13" s="257"/>
      <c r="Q13" s="257"/>
      <c r="R13" s="399"/>
      <c r="S13" s="183"/>
      <c r="T13" s="31"/>
      <c r="U13" s="31"/>
      <c r="V13" s="31"/>
      <c r="W13" s="31"/>
      <c r="X13" s="31"/>
      <c r="Y13" s="26"/>
    </row>
    <row r="14" spans="1:26" ht="18.75" thickTop="1" thickBot="1" x14ac:dyDescent="0.35">
      <c r="A14" s="179"/>
      <c r="B14" s="325"/>
      <c r="C14" s="394" t="s">
        <v>67</v>
      </c>
      <c r="D14" s="395"/>
      <c r="E14" s="398">
        <f>'Pneumatic Pump'!O40</f>
        <v>0</v>
      </c>
      <c r="F14" s="708"/>
      <c r="G14" s="398">
        <f>'Pneumatic Pump'!O44</f>
        <v>0</v>
      </c>
      <c r="H14" s="709"/>
      <c r="I14" s="257"/>
      <c r="J14" s="257"/>
      <c r="K14" s="257"/>
      <c r="L14" s="257"/>
      <c r="M14" s="257"/>
      <c r="N14" s="257"/>
      <c r="O14" s="257"/>
      <c r="P14" s="257"/>
      <c r="Q14" s="257"/>
      <c r="R14" s="399"/>
      <c r="S14" s="183"/>
      <c r="T14" s="31"/>
      <c r="U14" s="31"/>
      <c r="V14" s="31"/>
      <c r="W14" s="31"/>
      <c r="X14" s="31"/>
      <c r="Y14" s="26"/>
    </row>
    <row r="15" spans="1:26" ht="18.75" thickTop="1" thickBot="1" x14ac:dyDescent="0.35">
      <c r="A15" s="179"/>
      <c r="B15" s="325"/>
      <c r="C15" s="394" t="s">
        <v>97</v>
      </c>
      <c r="D15" s="395"/>
      <c r="E15" s="398">
        <f>'Pneumatic Controllers'!M28</f>
        <v>3.2850000000000001</v>
      </c>
      <c r="F15" s="708"/>
      <c r="G15" s="398">
        <f>'Pneumatic Controllers'!M32</f>
        <v>0.61401374390501329</v>
      </c>
      <c r="H15" s="709"/>
      <c r="I15" s="257"/>
      <c r="J15" s="257"/>
      <c r="K15" s="257"/>
      <c r="L15" s="257"/>
      <c r="M15" s="257"/>
      <c r="N15" s="257"/>
      <c r="O15" s="257"/>
      <c r="P15" s="257"/>
      <c r="Q15" s="257"/>
      <c r="R15" s="399"/>
      <c r="S15" s="183"/>
      <c r="T15" s="31"/>
      <c r="U15" s="31"/>
      <c r="V15" s="31"/>
      <c r="W15" s="31"/>
      <c r="X15" s="31"/>
      <c r="Y15" s="26"/>
    </row>
    <row r="16" spans="1:26" ht="18.75" thickTop="1" thickBot="1" x14ac:dyDescent="0.35">
      <c r="A16" s="179"/>
      <c r="B16" s="325"/>
      <c r="C16" s="394" t="s">
        <v>131</v>
      </c>
      <c r="D16" s="395"/>
      <c r="E16" s="398">
        <f>Input!C65</f>
        <v>0</v>
      </c>
      <c r="F16" s="708"/>
      <c r="G16" s="398">
        <f>Input!C66</f>
        <v>0</v>
      </c>
      <c r="H16" s="709"/>
      <c r="I16" s="257"/>
      <c r="J16" s="257"/>
      <c r="K16" s="257"/>
      <c r="L16" s="257"/>
      <c r="M16" s="257"/>
      <c r="N16" s="257"/>
      <c r="O16" s="257"/>
      <c r="P16" s="257"/>
      <c r="Q16" s="257"/>
      <c r="R16" s="399"/>
      <c r="S16" s="183"/>
      <c r="T16" s="31"/>
      <c r="U16" s="31"/>
      <c r="V16" s="31"/>
      <c r="W16" s="31"/>
      <c r="X16" s="31"/>
      <c r="Y16" s="26"/>
    </row>
    <row r="17" spans="1:26" ht="18.75" thickTop="1" thickBot="1" x14ac:dyDescent="0.35">
      <c r="A17" s="179"/>
      <c r="B17" s="325"/>
      <c r="C17" s="177"/>
      <c r="D17" s="177"/>
      <c r="E17" s="257"/>
      <c r="F17" s="257"/>
      <c r="G17" s="257"/>
      <c r="H17" s="257"/>
      <c r="I17" s="257"/>
      <c r="J17" s="257"/>
      <c r="K17" s="257"/>
      <c r="L17" s="257"/>
      <c r="M17" s="257"/>
      <c r="N17" s="257"/>
      <c r="O17" s="257"/>
      <c r="P17" s="257"/>
      <c r="Q17" s="257"/>
      <c r="R17" s="399"/>
      <c r="S17" s="183"/>
      <c r="T17" s="31"/>
      <c r="U17" s="31"/>
      <c r="V17" s="31"/>
      <c r="W17" s="31"/>
      <c r="X17" s="31"/>
      <c r="Y17" s="26"/>
    </row>
    <row r="18" spans="1:26" ht="18.75" thickTop="1" thickBot="1" x14ac:dyDescent="0.35">
      <c r="A18" s="179"/>
      <c r="B18" s="325"/>
      <c r="C18" s="401" t="s">
        <v>76</v>
      </c>
      <c r="D18" s="402"/>
      <c r="E18" s="403">
        <f>SUM(E9:E16)</f>
        <v>13.794546267392034</v>
      </c>
      <c r="F18" s="404"/>
      <c r="G18" s="403">
        <f>SUM(G9:G16)</f>
        <v>2.027188818942224</v>
      </c>
      <c r="H18" s="405"/>
      <c r="I18" s="403">
        <f>SUM(I9:I15)</f>
        <v>1.7608184825393822</v>
      </c>
      <c r="J18" s="404"/>
      <c r="K18" s="406"/>
      <c r="L18" s="407"/>
      <c r="M18" s="403">
        <f>SUM(M9:M15)</f>
        <v>0.65439854069856618</v>
      </c>
      <c r="N18" s="405"/>
      <c r="O18" s="403">
        <f>SUM(O9:O11)</f>
        <v>0</v>
      </c>
      <c r="P18" s="405"/>
      <c r="Q18" s="403">
        <f>SUM(Q9:Q11)</f>
        <v>0</v>
      </c>
      <c r="R18" s="408"/>
      <c r="S18" s="183"/>
      <c r="T18" s="32"/>
      <c r="U18" s="32"/>
      <c r="V18" s="32"/>
      <c r="W18" s="32"/>
      <c r="X18" s="32"/>
      <c r="Y18" s="26"/>
    </row>
    <row r="19" spans="1:26" ht="15" customHeight="1" thickTop="1" thickBot="1" x14ac:dyDescent="0.35">
      <c r="A19" s="179"/>
      <c r="B19" s="327"/>
      <c r="C19" s="254"/>
      <c r="D19" s="254"/>
      <c r="E19" s="339"/>
      <c r="F19" s="339"/>
      <c r="G19" s="339"/>
      <c r="H19" s="339"/>
      <c r="I19" s="254"/>
      <c r="J19" s="254"/>
      <c r="K19" s="254"/>
      <c r="L19" s="254"/>
      <c r="M19" s="254"/>
      <c r="N19" s="254"/>
      <c r="O19" s="254"/>
      <c r="P19" s="254"/>
      <c r="Q19" s="254"/>
      <c r="R19" s="388"/>
      <c r="S19" s="183"/>
      <c r="T19" s="30"/>
      <c r="U19" s="30"/>
      <c r="V19" s="30"/>
      <c r="W19" s="30"/>
      <c r="X19" s="30"/>
      <c r="Y19" s="26"/>
    </row>
    <row r="20" spans="1:26" ht="18" thickTop="1" x14ac:dyDescent="0.3">
      <c r="A20" s="179"/>
      <c r="B20" s="703"/>
      <c r="C20" s="703"/>
      <c r="D20" s="703"/>
      <c r="E20" s="703"/>
      <c r="F20" s="703"/>
      <c r="G20" s="703"/>
      <c r="H20" s="703"/>
      <c r="I20" s="703"/>
      <c r="J20" s="703"/>
      <c r="K20" s="703"/>
      <c r="L20" s="703"/>
      <c r="M20" s="703"/>
      <c r="N20" s="703"/>
      <c r="O20" s="703"/>
      <c r="P20" s="703"/>
      <c r="Q20" s="703"/>
      <c r="R20" s="703"/>
      <c r="S20" s="182"/>
      <c r="T20" s="41"/>
      <c r="U20" s="41"/>
    </row>
    <row r="21" spans="1:26" s="21" customFormat="1" ht="26.25" thickBot="1" x14ac:dyDescent="0.55000000000000004">
      <c r="A21" s="179"/>
      <c r="B21" s="713" t="s">
        <v>118</v>
      </c>
      <c r="C21" s="713"/>
      <c r="D21" s="713"/>
      <c r="E21" s="713"/>
      <c r="F21" s="713"/>
      <c r="G21" s="713"/>
      <c r="H21" s="713"/>
      <c r="I21" s="713"/>
      <c r="J21" s="713"/>
      <c r="K21" s="184"/>
      <c r="L21" s="704" t="s">
        <v>367</v>
      </c>
      <c r="M21" s="704"/>
      <c r="N21" s="704"/>
      <c r="O21" s="704"/>
      <c r="P21" s="704"/>
      <c r="Q21" s="704"/>
      <c r="R21" s="704"/>
      <c r="S21" s="185"/>
      <c r="T21" s="34"/>
      <c r="U21" s="24"/>
      <c r="V21" s="24"/>
      <c r="W21" s="24"/>
      <c r="X21" s="25"/>
      <c r="Y21" s="25"/>
    </row>
    <row r="22" spans="1:26" ht="9.75" customHeight="1" thickTop="1" thickBot="1" x14ac:dyDescent="0.35">
      <c r="A22" s="179"/>
      <c r="B22" s="325"/>
      <c r="C22" s="177"/>
      <c r="D22" s="177"/>
      <c r="E22" s="196"/>
      <c r="F22" s="196"/>
      <c r="G22" s="233"/>
      <c r="H22" s="196"/>
      <c r="I22" s="409"/>
      <c r="J22" s="410"/>
      <c r="K22" s="184"/>
      <c r="L22" s="734"/>
      <c r="M22" s="735"/>
      <c r="N22" s="734"/>
      <c r="O22" s="734"/>
      <c r="P22" s="734"/>
      <c r="Q22" s="735"/>
      <c r="R22" s="736"/>
      <c r="S22" s="186"/>
      <c r="T22" s="26"/>
      <c r="U22" s="26"/>
      <c r="V22" s="27"/>
      <c r="W22" s="27"/>
      <c r="X22" s="27"/>
      <c r="Y22" s="26"/>
    </row>
    <row r="23" spans="1:26" ht="30.75" customHeight="1" thickTop="1" thickBot="1" x14ac:dyDescent="0.35">
      <c r="A23" s="179"/>
      <c r="B23" s="325"/>
      <c r="C23" s="177"/>
      <c r="D23" s="177"/>
      <c r="E23" s="196"/>
      <c r="F23" s="196"/>
      <c r="G23" s="714" t="s">
        <v>205</v>
      </c>
      <c r="H23" s="392"/>
      <c r="I23" s="714" t="s">
        <v>206</v>
      </c>
      <c r="J23" s="411"/>
      <c r="K23" s="184"/>
      <c r="L23" s="737"/>
      <c r="M23" s="731" t="s">
        <v>353</v>
      </c>
      <c r="N23" s="412"/>
      <c r="O23" s="732" t="s">
        <v>107</v>
      </c>
      <c r="P23" s="413"/>
      <c r="Q23" s="733" t="s">
        <v>109</v>
      </c>
      <c r="R23" s="180"/>
      <c r="S23" s="186"/>
      <c r="T23" s="26"/>
      <c r="U23" s="26"/>
      <c r="V23" s="27"/>
      <c r="W23" s="27"/>
      <c r="X23" s="27"/>
      <c r="Y23" s="26"/>
    </row>
    <row r="24" spans="1:26" ht="17.25" customHeight="1" thickTop="1" thickBot="1" x14ac:dyDescent="0.35">
      <c r="A24" s="179"/>
      <c r="B24" s="325"/>
      <c r="C24" s="711" t="s">
        <v>175</v>
      </c>
      <c r="D24" s="177"/>
      <c r="E24" s="714" t="s">
        <v>176</v>
      </c>
      <c r="F24" s="285"/>
      <c r="G24" s="715"/>
      <c r="H24" s="391"/>
      <c r="I24" s="715"/>
      <c r="J24" s="411"/>
      <c r="K24" s="184"/>
      <c r="L24" s="737"/>
      <c r="M24" s="731"/>
      <c r="N24" s="412"/>
      <c r="O24" s="732"/>
      <c r="P24" s="413"/>
      <c r="Q24" s="733"/>
      <c r="R24" s="180"/>
      <c r="S24" s="186"/>
      <c r="T24" s="36"/>
      <c r="U24" s="36"/>
      <c r="V24" s="1"/>
      <c r="W24" s="27"/>
      <c r="Y24" s="26"/>
    </row>
    <row r="25" spans="1:26" ht="21.75" customHeight="1" thickTop="1" thickBot="1" x14ac:dyDescent="0.35">
      <c r="A25" s="179"/>
      <c r="B25" s="325"/>
      <c r="C25" s="712"/>
      <c r="D25" s="177"/>
      <c r="E25" s="716"/>
      <c r="F25" s="285"/>
      <c r="G25" s="716"/>
      <c r="H25" s="392"/>
      <c r="I25" s="716"/>
      <c r="J25" s="411"/>
      <c r="K25" s="184"/>
      <c r="L25" s="737"/>
      <c r="M25" s="414"/>
      <c r="N25" s="415"/>
      <c r="O25" s="414"/>
      <c r="P25" s="415"/>
      <c r="Q25" s="414"/>
      <c r="R25" s="181"/>
      <c r="S25" s="186"/>
      <c r="T25" s="26"/>
      <c r="U25" s="26"/>
      <c r="V25" s="27"/>
      <c r="W25" s="27"/>
      <c r="X25" s="27"/>
      <c r="Y25" s="26"/>
    </row>
    <row r="26" spans="1:26" ht="17.25" customHeight="1" thickTop="1" thickBot="1" x14ac:dyDescent="0.35">
      <c r="A26" s="179"/>
      <c r="B26" s="325"/>
      <c r="C26" s="177"/>
      <c r="D26" s="177"/>
      <c r="E26" s="196"/>
      <c r="F26" s="196"/>
      <c r="G26" s="233"/>
      <c r="H26" s="196"/>
      <c r="I26" s="409"/>
      <c r="J26" s="188"/>
      <c r="K26" s="184"/>
      <c r="L26" s="737"/>
      <c r="M26" s="730" t="s">
        <v>106</v>
      </c>
      <c r="N26" s="412"/>
      <c r="O26" s="717" t="s">
        <v>108</v>
      </c>
      <c r="P26" s="413"/>
      <c r="Q26" s="718">
        <f>IF(O26="YES",Input!B8+90)</f>
        <v>40646</v>
      </c>
      <c r="R26" s="180"/>
      <c r="S26" s="186"/>
      <c r="T26" s="37"/>
      <c r="U26" s="37"/>
      <c r="W26" s="27"/>
      <c r="Y26" s="26"/>
    </row>
    <row r="27" spans="1:26" ht="16.5" customHeight="1" thickTop="1" thickBot="1" x14ac:dyDescent="0.35">
      <c r="A27" s="179"/>
      <c r="B27" s="325"/>
      <c r="C27" s="394" t="s">
        <v>105</v>
      </c>
      <c r="D27" s="177"/>
      <c r="E27" s="416" t="s">
        <v>108</v>
      </c>
      <c r="F27" s="181"/>
      <c r="G27" s="187">
        <f>IF(E28="YES",(Input!B8),"NA")</f>
        <v>40556</v>
      </c>
      <c r="H27" s="417"/>
      <c r="I27" s="187" t="str">
        <f>IF(E9&gt;20.01,(Input!B8+90),"NA")</f>
        <v>NA</v>
      </c>
      <c r="J27" s="418"/>
      <c r="K27" s="184"/>
      <c r="L27" s="737"/>
      <c r="M27" s="730"/>
      <c r="N27" s="412"/>
      <c r="O27" s="717"/>
      <c r="P27" s="413"/>
      <c r="Q27" s="719"/>
      <c r="R27" s="180"/>
      <c r="S27" s="186"/>
      <c r="T27" s="26"/>
      <c r="U27" s="26"/>
      <c r="V27" s="27"/>
      <c r="W27" s="27"/>
      <c r="X27" s="27"/>
      <c r="Y27" s="26"/>
    </row>
    <row r="28" spans="1:26" ht="16.5" customHeight="1" thickTop="1" thickBot="1" x14ac:dyDescent="0.35">
      <c r="A28" s="179"/>
      <c r="B28" s="325"/>
      <c r="C28" s="394" t="s">
        <v>209</v>
      </c>
      <c r="D28" s="177"/>
      <c r="E28" s="416" t="s">
        <v>108</v>
      </c>
      <c r="F28" s="181"/>
      <c r="G28" s="187">
        <f>IF(E28="YES",(Input!B8),"NA")</f>
        <v>40556</v>
      </c>
      <c r="H28" s="419"/>
      <c r="I28" s="195"/>
      <c r="J28" s="420"/>
      <c r="K28" s="184"/>
      <c r="L28" s="737"/>
      <c r="M28" s="414"/>
      <c r="N28" s="415"/>
      <c r="O28" s="421"/>
      <c r="P28" s="415"/>
      <c r="Q28" s="414"/>
      <c r="R28" s="181"/>
      <c r="S28" s="186"/>
      <c r="T28" s="38"/>
      <c r="U28" s="38"/>
      <c r="W28" s="27"/>
      <c r="Y28" s="26"/>
    </row>
    <row r="29" spans="1:26" ht="16.5" customHeight="1" thickTop="1" thickBot="1" x14ac:dyDescent="0.35">
      <c r="A29" s="179"/>
      <c r="B29" s="325"/>
      <c r="C29" s="394" t="s">
        <v>67</v>
      </c>
      <c r="D29" s="177"/>
      <c r="E29" s="416" t="str">
        <f>IF(E14&gt;5,"YES", "NO")</f>
        <v>NO</v>
      </c>
      <c r="F29" s="181"/>
      <c r="G29" s="187" t="str">
        <f>IF(E29="YES",(Input!B8),"NA")</f>
        <v>NA</v>
      </c>
      <c r="H29" s="419"/>
      <c r="I29" s="194"/>
      <c r="J29" s="420"/>
      <c r="K29" s="184"/>
      <c r="L29" s="737"/>
      <c r="M29" s="717" t="s">
        <v>110</v>
      </c>
      <c r="N29" s="412"/>
      <c r="O29" s="717" t="str">
        <f>IF(OR(E18&gt;99,G18&gt;25,I18&gt;99,M18&gt;99,O18&gt;99,Q18&gt;99),"YES","NO")</f>
        <v>NO</v>
      </c>
      <c r="P29" s="413"/>
      <c r="Q29" s="720" t="str">
        <f>IF(O29="YES",Input!B8+365,"NA")</f>
        <v>NA</v>
      </c>
      <c r="R29" s="180"/>
      <c r="S29" s="186"/>
      <c r="T29" s="26"/>
      <c r="U29" s="26"/>
      <c r="V29" s="27"/>
      <c r="W29" s="27"/>
      <c r="X29" s="27"/>
      <c r="Y29" s="26"/>
    </row>
    <row r="30" spans="1:26" ht="16.5" customHeight="1" thickTop="1" thickBot="1" x14ac:dyDescent="0.35">
      <c r="A30" s="179"/>
      <c r="B30" s="325"/>
      <c r="C30" s="394" t="s">
        <v>131</v>
      </c>
      <c r="D30" s="177"/>
      <c r="E30" s="416" t="str">
        <f>IF(OR(E16&gt;=15,G16&gt;= 5), "YES", "NO")</f>
        <v>NO</v>
      </c>
      <c r="F30" s="181"/>
      <c r="G30" s="187" t="str">
        <f>IF(E30="YES",(Input!B8),"NA")</f>
        <v>NA</v>
      </c>
      <c r="H30" s="419"/>
      <c r="I30" s="194"/>
      <c r="J30" s="420"/>
      <c r="K30" s="184"/>
      <c r="L30" s="737"/>
      <c r="M30" s="717"/>
      <c r="N30" s="412"/>
      <c r="O30" s="717"/>
      <c r="P30" s="413"/>
      <c r="Q30" s="721"/>
      <c r="R30" s="180"/>
      <c r="S30" s="186"/>
      <c r="T30" s="38"/>
      <c r="U30" s="38"/>
      <c r="W30" s="27"/>
      <c r="Y30" s="26"/>
    </row>
    <row r="31" spans="1:26" ht="16.5" customHeight="1" thickTop="1" thickBot="1" x14ac:dyDescent="0.35">
      <c r="A31" s="179"/>
      <c r="B31" s="325"/>
      <c r="C31" s="271"/>
      <c r="D31" s="177"/>
      <c r="E31" s="270"/>
      <c r="F31" s="181"/>
      <c r="G31" s="270"/>
      <c r="H31" s="197"/>
      <c r="I31" s="422"/>
      <c r="J31" s="420"/>
      <c r="K31" s="188"/>
      <c r="L31" s="737"/>
      <c r="M31" s="423"/>
      <c r="N31" s="415"/>
      <c r="O31" s="424"/>
      <c r="P31" s="415"/>
      <c r="Q31" s="425"/>
      <c r="R31" s="181"/>
      <c r="S31" s="186"/>
      <c r="T31" s="35"/>
      <c r="U31" s="35"/>
      <c r="W31" s="27"/>
      <c r="Y31" s="26"/>
    </row>
    <row r="32" spans="1:26" ht="16.5" customHeight="1" thickTop="1" thickBot="1" x14ac:dyDescent="0.35">
      <c r="A32" s="179"/>
      <c r="B32" s="189"/>
      <c r="C32" s="160"/>
      <c r="D32" s="189"/>
      <c r="E32" s="198"/>
      <c r="F32" s="191"/>
      <c r="G32" s="192"/>
      <c r="H32" s="193"/>
      <c r="I32" s="194"/>
      <c r="J32" s="195"/>
      <c r="K32" s="188"/>
      <c r="L32" s="737"/>
      <c r="M32" s="717" t="s">
        <v>111</v>
      </c>
      <c r="N32" s="412"/>
      <c r="O32" s="717" t="str">
        <f>IF(OR('Emission Summary'!E18&gt;250,'Emission Summary'!G18&gt;25,'Emission Summary'!AE24&gt;250,'Emission Summary'!AF24&gt;250),"YES","NO")</f>
        <v>NO</v>
      </c>
      <c r="P32" s="413"/>
      <c r="Q32" s="722" t="str">
        <f>IF(O32="YES","Contact NDDH ASAP","NA")</f>
        <v>NA</v>
      </c>
      <c r="R32" s="180"/>
      <c r="S32" s="186"/>
      <c r="T32" s="27"/>
      <c r="U32" s="26"/>
      <c r="V32" s="27"/>
      <c r="W32" s="27"/>
      <c r="X32" s="27"/>
      <c r="Y32" s="26"/>
      <c r="Z32" s="23"/>
    </row>
    <row r="33" spans="1:21" ht="16.5" customHeight="1" thickTop="1" thickBot="1" x14ac:dyDescent="0.35">
      <c r="A33" s="179"/>
      <c r="B33" s="177"/>
      <c r="C33" s="19"/>
      <c r="D33" s="177"/>
      <c r="E33" s="196"/>
      <c r="F33" s="181"/>
      <c r="G33" s="196"/>
      <c r="H33" s="197"/>
      <c r="I33" s="194"/>
      <c r="J33" s="194"/>
      <c r="K33" s="184"/>
      <c r="L33" s="737"/>
      <c r="M33" s="717"/>
      <c r="N33" s="412"/>
      <c r="O33" s="717"/>
      <c r="P33" s="413"/>
      <c r="Q33" s="723"/>
      <c r="R33" s="180"/>
      <c r="S33" s="186"/>
    </row>
    <row r="34" spans="1:21" ht="16.5" customHeight="1" thickTop="1" thickBot="1" x14ac:dyDescent="0.35">
      <c r="A34" s="179"/>
      <c r="B34" s="729" t="s">
        <v>369</v>
      </c>
      <c r="C34" s="729"/>
      <c r="D34" s="729"/>
      <c r="E34" s="729"/>
      <c r="F34" s="729"/>
      <c r="G34" s="729"/>
      <c r="H34" s="729"/>
      <c r="I34" s="729"/>
      <c r="J34" s="194"/>
      <c r="K34" s="184"/>
      <c r="L34" s="327"/>
      <c r="M34" s="254"/>
      <c r="N34" s="254"/>
      <c r="O34" s="254"/>
      <c r="P34" s="254"/>
      <c r="Q34" s="254"/>
      <c r="R34" s="388"/>
      <c r="S34" s="186"/>
      <c r="U34" s="23"/>
    </row>
    <row r="35" spans="1:21" ht="21" customHeight="1" thickTop="1" x14ac:dyDescent="0.3">
      <c r="A35" s="179"/>
      <c r="B35" s="724" t="s">
        <v>368</v>
      </c>
      <c r="C35" s="724"/>
      <c r="D35" s="724"/>
      <c r="E35" s="724"/>
      <c r="F35" s="724"/>
      <c r="G35" s="724"/>
      <c r="H35" s="724"/>
      <c r="I35" s="724"/>
      <c r="J35" s="724"/>
      <c r="K35" s="724"/>
      <c r="L35" s="724"/>
      <c r="M35" s="724"/>
      <c r="N35" s="724"/>
      <c r="O35" s="724"/>
      <c r="P35" s="724"/>
      <c r="Q35" s="724"/>
      <c r="R35" s="724"/>
      <c r="S35" s="182"/>
    </row>
    <row r="36" spans="1:21" ht="12.75" customHeight="1" x14ac:dyDescent="0.3">
      <c r="A36" s="179"/>
      <c r="B36" s="724"/>
      <c r="C36" s="724"/>
      <c r="D36" s="724"/>
      <c r="E36" s="724"/>
      <c r="F36" s="724"/>
      <c r="G36" s="724"/>
      <c r="H36" s="724"/>
      <c r="I36" s="724"/>
      <c r="J36" s="724"/>
      <c r="K36" s="724"/>
      <c r="L36" s="724"/>
      <c r="M36" s="724"/>
      <c r="N36" s="724"/>
      <c r="O36" s="724"/>
      <c r="P36" s="724"/>
      <c r="Q36" s="724"/>
      <c r="R36" s="724"/>
      <c r="S36" s="182"/>
    </row>
    <row r="37" spans="1:21" ht="51.75" customHeight="1" thickBot="1" x14ac:dyDescent="0.35">
      <c r="A37" s="287"/>
      <c r="B37" s="725"/>
      <c r="C37" s="725"/>
      <c r="D37" s="725"/>
      <c r="E37" s="725"/>
      <c r="F37" s="725"/>
      <c r="G37" s="725"/>
      <c r="H37" s="725"/>
      <c r="I37" s="725"/>
      <c r="J37" s="725"/>
      <c r="K37" s="725"/>
      <c r="L37" s="725"/>
      <c r="M37" s="725"/>
      <c r="N37" s="725"/>
      <c r="O37" s="725"/>
      <c r="P37" s="725"/>
      <c r="Q37" s="725"/>
      <c r="R37" s="725"/>
      <c r="S37" s="199"/>
    </row>
    <row r="38" spans="1:21" x14ac:dyDescent="0.2">
      <c r="A38" s="20"/>
    </row>
  </sheetData>
  <sheetProtection selectLockedCells="1"/>
  <mergeCells count="33">
    <mergeCell ref="B35:R37"/>
    <mergeCell ref="E2:Q2"/>
    <mergeCell ref="E3:R3"/>
    <mergeCell ref="E4:R4"/>
    <mergeCell ref="B34:I34"/>
    <mergeCell ref="C24:C25"/>
    <mergeCell ref="E24:E25"/>
    <mergeCell ref="G23:G25"/>
    <mergeCell ref="M26:M27"/>
    <mergeCell ref="M23:M24"/>
    <mergeCell ref="O23:O24"/>
    <mergeCell ref="O26:O27"/>
    <mergeCell ref="Q23:Q24"/>
    <mergeCell ref="L22:R22"/>
    <mergeCell ref="L23:L33"/>
    <mergeCell ref="M32:M33"/>
    <mergeCell ref="I23:I25"/>
    <mergeCell ref="M29:M30"/>
    <mergeCell ref="O29:O30"/>
    <mergeCell ref="O32:O33"/>
    <mergeCell ref="Q26:Q27"/>
    <mergeCell ref="Q29:Q30"/>
    <mergeCell ref="Q32:Q33"/>
    <mergeCell ref="B20:R20"/>
    <mergeCell ref="L21:R21"/>
    <mergeCell ref="E7:Q7"/>
    <mergeCell ref="F9:F16"/>
    <mergeCell ref="H9:H16"/>
    <mergeCell ref="L9:L12"/>
    <mergeCell ref="C7:C8"/>
    <mergeCell ref="N9:N12"/>
    <mergeCell ref="P9:P11"/>
    <mergeCell ref="B21:J21"/>
  </mergeCells>
  <phoneticPr fontId="0" type="noConversion"/>
  <printOptions horizontalCentered="1"/>
  <pageMargins left="0.25" right="0.25" top="0.75" bottom="0.75" header="0.3" footer="0.3"/>
  <pageSetup scale="71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X59"/>
  <sheetViews>
    <sheetView topLeftCell="A16" zoomScaleNormal="100" workbookViewId="0">
      <selection activeCell="M41" sqref="M41"/>
    </sheetView>
  </sheetViews>
  <sheetFormatPr defaultRowHeight="12.75" x14ac:dyDescent="0.2"/>
  <cols>
    <col min="1" max="1" width="13.28515625" customWidth="1"/>
    <col min="2" max="2" width="8.28515625" customWidth="1"/>
    <col min="3" max="3" width="7.7109375" customWidth="1"/>
    <col min="4" max="4" width="3.28515625" customWidth="1"/>
    <col min="5" max="5" width="11.7109375" customWidth="1"/>
    <col min="6" max="6" width="9.5703125" customWidth="1"/>
    <col min="7" max="7" width="3.5703125" style="17" customWidth="1"/>
    <col min="8" max="8" width="7.85546875" customWidth="1"/>
    <col min="9" max="9" width="2.7109375" customWidth="1"/>
    <col min="10" max="10" width="1.42578125" style="2" bestFit="1" customWidth="1"/>
    <col min="11" max="11" width="12.5703125" customWidth="1"/>
    <col min="12" max="12" width="7.7109375" customWidth="1"/>
    <col min="13" max="13" width="8.7109375" style="2" bestFit="1" customWidth="1"/>
    <col min="14" max="14" width="11.28515625" style="17" bestFit="1" customWidth="1"/>
    <col min="15" max="15" width="8" customWidth="1"/>
    <col min="16" max="16" width="8.7109375" bestFit="1" customWidth="1"/>
    <col min="17" max="17" width="6.140625" customWidth="1"/>
    <col min="18" max="18" width="4.85546875" customWidth="1"/>
    <col min="19" max="19" width="6.28515625" customWidth="1"/>
    <col min="20" max="20" width="14.140625" customWidth="1"/>
  </cols>
  <sheetData>
    <row r="1" spans="1:23" ht="18.75" thickTop="1" thickBot="1" x14ac:dyDescent="0.35">
      <c r="A1" s="389"/>
      <c r="B1" s="189"/>
      <c r="C1" s="189"/>
      <c r="D1" s="189"/>
      <c r="E1" s="189"/>
      <c r="F1" s="189"/>
      <c r="G1" s="233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390"/>
    </row>
    <row r="2" spans="1:23" ht="32.25" thickTop="1" thickBot="1" x14ac:dyDescent="0.6">
      <c r="A2" s="325"/>
      <c r="B2" s="753" t="str">
        <f>Input!B7</f>
        <v>55555, 55556, 55557</v>
      </c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5"/>
      <c r="T2" s="281"/>
    </row>
    <row r="3" spans="1:23" ht="18.75" thickTop="1" thickBot="1" x14ac:dyDescent="0.35">
      <c r="A3" s="325"/>
      <c r="B3" s="177"/>
      <c r="C3" s="177"/>
      <c r="D3" s="177"/>
      <c r="E3" s="177"/>
      <c r="F3" s="177"/>
      <c r="G3" s="196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281"/>
    </row>
    <row r="4" spans="1:23" ht="32.25" thickTop="1" thickBot="1" x14ac:dyDescent="0.6">
      <c r="A4" s="325"/>
      <c r="B4" s="753" t="s">
        <v>177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5"/>
      <c r="T4" s="281"/>
    </row>
    <row r="5" spans="1:23" ht="18.75" thickTop="1" thickBot="1" x14ac:dyDescent="0.35">
      <c r="A5" s="426"/>
      <c r="B5" s="254"/>
      <c r="C5" s="254"/>
      <c r="D5" s="254"/>
      <c r="E5" s="254"/>
      <c r="F5" s="254"/>
      <c r="G5" s="339"/>
      <c r="H5" s="254"/>
      <c r="I5" s="254"/>
      <c r="J5" s="339"/>
      <c r="K5" s="254"/>
      <c r="L5" s="254"/>
      <c r="M5" s="339"/>
      <c r="N5" s="339"/>
      <c r="O5" s="254"/>
      <c r="P5" s="254"/>
      <c r="Q5" s="254"/>
      <c r="R5" s="254"/>
      <c r="S5" s="254"/>
      <c r="T5" s="388"/>
    </row>
    <row r="6" spans="1:23" ht="18.75" thickTop="1" thickBot="1" x14ac:dyDescent="0.35">
      <c r="A6" s="200"/>
      <c r="B6" s="200"/>
      <c r="C6" s="200"/>
      <c r="D6" s="200"/>
      <c r="E6" s="200"/>
      <c r="F6" s="200"/>
      <c r="G6" s="208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  <c r="T6" s="200"/>
    </row>
    <row r="7" spans="1:23" ht="18.75" thickTop="1" thickBot="1" x14ac:dyDescent="0.35">
      <c r="A7" s="389"/>
      <c r="B7" s="189"/>
      <c r="C7" s="189"/>
      <c r="D7" s="189"/>
      <c r="E7" s="427"/>
      <c r="F7" s="390"/>
      <c r="G7" s="208"/>
      <c r="H7" s="200"/>
      <c r="I7" s="200"/>
      <c r="J7" s="200"/>
      <c r="K7" s="200"/>
      <c r="L7" s="200"/>
      <c r="M7" s="201"/>
      <c r="N7" s="201"/>
      <c r="O7" s="200"/>
      <c r="P7" s="200"/>
      <c r="Q7" s="200"/>
      <c r="R7" s="200"/>
      <c r="S7" s="200"/>
      <c r="T7" s="200"/>
    </row>
    <row r="8" spans="1:23" ht="18" thickBot="1" x14ac:dyDescent="0.35">
      <c r="A8" s="745" t="s">
        <v>46</v>
      </c>
      <c r="B8" s="746"/>
      <c r="C8" s="756">
        <f>Input!C20</f>
        <v>1030.8999999999999</v>
      </c>
      <c r="D8" s="757"/>
      <c r="E8" s="202" t="s">
        <v>162</v>
      </c>
      <c r="F8" s="428"/>
      <c r="G8" s="208"/>
      <c r="H8" s="200"/>
      <c r="I8" s="200"/>
      <c r="J8" s="200"/>
      <c r="K8" s="200"/>
      <c r="L8" s="200"/>
      <c r="M8" s="203"/>
      <c r="N8" s="203"/>
      <c r="O8" s="200"/>
      <c r="P8" s="200"/>
      <c r="Q8" s="200"/>
      <c r="R8" s="200"/>
      <c r="S8" s="200"/>
      <c r="T8" s="200"/>
    </row>
    <row r="9" spans="1:23" ht="18" thickBot="1" x14ac:dyDescent="0.35">
      <c r="A9" s="325"/>
      <c r="B9" s="177"/>
      <c r="C9" s="177"/>
      <c r="D9" s="177"/>
      <c r="E9" s="227"/>
      <c r="F9" s="281"/>
      <c r="G9" s="208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  <c r="T9" s="200"/>
    </row>
    <row r="10" spans="1:23" ht="18" thickBot="1" x14ac:dyDescent="0.35">
      <c r="A10" s="745" t="s">
        <v>134</v>
      </c>
      <c r="B10" s="746"/>
      <c r="C10" s="747">
        <f>Input!C21</f>
        <v>2271.5</v>
      </c>
      <c r="D10" s="748"/>
      <c r="E10" s="204" t="s">
        <v>41</v>
      </c>
      <c r="F10" s="281"/>
      <c r="G10" s="208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  <c r="T10" s="200"/>
    </row>
    <row r="11" spans="1:23" ht="18" thickBot="1" x14ac:dyDescent="0.35">
      <c r="A11" s="325"/>
      <c r="B11" s="177"/>
      <c r="C11" s="177"/>
      <c r="D11" s="177"/>
      <c r="E11" s="177"/>
      <c r="F11" s="281"/>
      <c r="G11" s="208"/>
      <c r="H11" s="200"/>
      <c r="I11" s="200"/>
      <c r="J11" s="200"/>
      <c r="K11" s="177"/>
      <c r="L11" s="200"/>
      <c r="M11" s="200"/>
      <c r="N11" s="200"/>
      <c r="O11" s="200"/>
      <c r="P11" s="200"/>
      <c r="Q11" s="200"/>
      <c r="R11" s="200"/>
      <c r="S11" s="200"/>
      <c r="T11" s="200"/>
    </row>
    <row r="12" spans="1:23" ht="18" thickBot="1" x14ac:dyDescent="0.35">
      <c r="A12" s="745" t="s">
        <v>140</v>
      </c>
      <c r="B12" s="746"/>
      <c r="C12" s="747">
        <f>Input!C22</f>
        <v>44.35</v>
      </c>
      <c r="D12" s="748"/>
      <c r="E12" s="205" t="s">
        <v>47</v>
      </c>
      <c r="F12" s="428"/>
      <c r="G12" s="208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  <c r="T12" s="200"/>
    </row>
    <row r="13" spans="1:23" ht="18" thickBot="1" x14ac:dyDescent="0.35">
      <c r="A13" s="325"/>
      <c r="B13" s="177"/>
      <c r="C13" s="177"/>
      <c r="D13" s="177"/>
      <c r="E13" s="177"/>
      <c r="F13" s="281"/>
      <c r="G13" s="208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  <c r="T13" s="200"/>
      <c r="W13" s="23"/>
    </row>
    <row r="14" spans="1:23" ht="18" thickBot="1" x14ac:dyDescent="0.35">
      <c r="A14" s="745" t="s">
        <v>147</v>
      </c>
      <c r="B14" s="746"/>
      <c r="C14" s="749">
        <f>Input!C23</f>
        <v>0.74219999999999997</v>
      </c>
      <c r="D14" s="750"/>
      <c r="E14" s="177"/>
      <c r="F14" s="281"/>
      <c r="G14" s="208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  <c r="T14" s="200"/>
    </row>
    <row r="15" spans="1:23" ht="18" thickBot="1" x14ac:dyDescent="0.35">
      <c r="A15" s="429"/>
      <c r="B15" s="256"/>
      <c r="C15" s="430"/>
      <c r="D15" s="431"/>
      <c r="E15" s="177"/>
      <c r="F15" s="281"/>
      <c r="G15" s="208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  <c r="T15" s="200"/>
    </row>
    <row r="16" spans="1:23" ht="18" thickBot="1" x14ac:dyDescent="0.35">
      <c r="A16" s="429"/>
      <c r="B16" s="256" t="s">
        <v>148</v>
      </c>
      <c r="C16" s="751">
        <f>Input!C24</f>
        <v>0.13930000000000001</v>
      </c>
      <c r="D16" s="752"/>
      <c r="E16" s="177"/>
      <c r="F16" s="281"/>
      <c r="G16" s="208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  <c r="T16" s="200"/>
    </row>
    <row r="17" spans="1:24" ht="18" thickBot="1" x14ac:dyDescent="0.35">
      <c r="A17" s="327"/>
      <c r="B17" s="254"/>
      <c r="C17" s="432"/>
      <c r="D17" s="432"/>
      <c r="E17" s="254"/>
      <c r="F17" s="388"/>
      <c r="G17" s="208"/>
      <c r="H17" s="740" t="s">
        <v>218</v>
      </c>
      <c r="I17" s="740"/>
      <c r="J17" s="740"/>
      <c r="K17" s="740"/>
      <c r="L17" s="740"/>
      <c r="M17" s="740"/>
      <c r="N17" s="740"/>
      <c r="O17" s="741"/>
      <c r="P17" s="259">
        <f>Input!C29</f>
        <v>0.99</v>
      </c>
      <c r="Q17" s="207" t="s">
        <v>354</v>
      </c>
      <c r="R17" s="200"/>
      <c r="S17" s="200"/>
      <c r="T17" s="200"/>
    </row>
    <row r="18" spans="1:24" ht="18.75" thickTop="1" thickBot="1" x14ac:dyDescent="0.35">
      <c r="A18" s="200"/>
      <c r="B18" s="200"/>
      <c r="C18" s="200"/>
      <c r="D18" s="200"/>
      <c r="E18" s="200"/>
      <c r="F18" s="200"/>
      <c r="G18" s="208"/>
      <c r="H18" s="200"/>
      <c r="I18" s="200"/>
      <c r="J18" s="208"/>
      <c r="K18" s="200"/>
      <c r="L18" s="200"/>
      <c r="M18" s="208"/>
      <c r="N18" s="208"/>
      <c r="O18" s="200"/>
      <c r="P18" s="209">
        <f>100%-P17</f>
        <v>1.0000000000000009E-2</v>
      </c>
      <c r="Q18" s="200"/>
      <c r="R18" s="200"/>
      <c r="S18" s="200"/>
      <c r="T18" s="200"/>
    </row>
    <row r="19" spans="1:24" ht="18.75" thickTop="1" thickBot="1" x14ac:dyDescent="0.35">
      <c r="A19" s="389"/>
      <c r="B19" s="189"/>
      <c r="C19" s="189"/>
      <c r="D19" s="189"/>
      <c r="E19" s="189"/>
      <c r="F19" s="189"/>
      <c r="G19" s="233"/>
      <c r="H19" s="189"/>
      <c r="I19" s="189"/>
      <c r="J19" s="233"/>
      <c r="K19" s="189"/>
      <c r="L19" s="189"/>
      <c r="M19" s="233"/>
      <c r="N19" s="233"/>
      <c r="O19" s="189"/>
      <c r="P19" s="189"/>
      <c r="Q19" s="189"/>
      <c r="R19" s="189"/>
      <c r="S19" s="189"/>
      <c r="T19" s="390"/>
    </row>
    <row r="20" spans="1:24" ht="18" thickBot="1" x14ac:dyDescent="0.35">
      <c r="A20" s="433" t="s">
        <v>45</v>
      </c>
      <c r="B20" s="434">
        <f>C8/24</f>
        <v>42.954166666666659</v>
      </c>
      <c r="C20" s="210" t="s">
        <v>42</v>
      </c>
      <c r="D20" s="435" t="s">
        <v>2</v>
      </c>
      <c r="E20" s="211" t="s">
        <v>337</v>
      </c>
      <c r="F20" s="212"/>
      <c r="G20" s="436" t="s">
        <v>2</v>
      </c>
      <c r="H20" s="213">
        <f>C12</f>
        <v>44.35</v>
      </c>
      <c r="I20" s="211" t="s">
        <v>47</v>
      </c>
      <c r="J20" s="211"/>
      <c r="K20" s="212"/>
      <c r="L20" s="435" t="s">
        <v>2</v>
      </c>
      <c r="M20" s="214">
        <f>C14</f>
        <v>0.74219999999999997</v>
      </c>
      <c r="N20" s="436" t="s">
        <v>2</v>
      </c>
      <c r="O20" s="260">
        <f>(1-Input!$C$29)</f>
        <v>1.0000000000000009E-2</v>
      </c>
      <c r="P20" s="190" t="s">
        <v>217</v>
      </c>
      <c r="Q20" s="738">
        <f>(B20*1/379*H20*M20)*P18</f>
        <v>3.7306169759234856E-2</v>
      </c>
      <c r="R20" s="739"/>
      <c r="S20" s="204" t="s">
        <v>1</v>
      </c>
      <c r="T20" s="281"/>
      <c r="U20" s="28"/>
      <c r="V20" s="23"/>
      <c r="X20" s="23"/>
    </row>
    <row r="21" spans="1:24" ht="17.25" x14ac:dyDescent="0.3">
      <c r="A21" s="433"/>
      <c r="B21" s="437"/>
      <c r="C21" s="196"/>
      <c r="D21" s="177"/>
      <c r="E21" s="177"/>
      <c r="F21" s="177"/>
      <c r="G21" s="196"/>
      <c r="H21" s="196"/>
      <c r="I21" s="177"/>
      <c r="J21" s="177"/>
      <c r="K21" s="177"/>
      <c r="L21" s="177"/>
      <c r="M21" s="177"/>
      <c r="N21" s="177"/>
      <c r="O21" s="177"/>
      <c r="P21" s="232"/>
      <c r="Q21" s="177"/>
      <c r="R21" s="177"/>
      <c r="S21" s="177"/>
      <c r="T21" s="281"/>
    </row>
    <row r="22" spans="1:24" ht="18" thickBot="1" x14ac:dyDescent="0.35">
      <c r="A22" s="433"/>
      <c r="B22" s="437"/>
      <c r="C22" s="196"/>
      <c r="D22" s="177"/>
      <c r="E22" s="177"/>
      <c r="F22" s="177"/>
      <c r="G22" s="196"/>
      <c r="H22" s="196"/>
      <c r="I22" s="177"/>
      <c r="J22" s="177"/>
      <c r="K22" s="177"/>
      <c r="L22" s="216"/>
      <c r="M22" s="216"/>
      <c r="N22" s="177"/>
      <c r="O22" s="177"/>
      <c r="P22" s="257"/>
      <c r="Q22" s="216"/>
      <c r="R22" s="216"/>
      <c r="S22" s="177"/>
      <c r="T22" s="281"/>
      <c r="U22" s="28"/>
      <c r="W22" s="23"/>
    </row>
    <row r="23" spans="1:24" ht="18" thickBot="1" x14ac:dyDescent="0.35">
      <c r="A23" s="433"/>
      <c r="B23" s="231"/>
      <c r="C23" s="196"/>
      <c r="D23" s="177"/>
      <c r="E23" s="265">
        <f>Q20</f>
        <v>3.7306169759234856E-2</v>
      </c>
      <c r="F23" s="212" t="s">
        <v>1</v>
      </c>
      <c r="G23" s="436" t="s">
        <v>2</v>
      </c>
      <c r="H23" s="742" t="s">
        <v>50</v>
      </c>
      <c r="I23" s="743"/>
      <c r="J23" s="744"/>
      <c r="K23" s="435" t="s">
        <v>2</v>
      </c>
      <c r="L23" s="216" t="s">
        <v>49</v>
      </c>
      <c r="M23" s="217"/>
      <c r="N23" s="436"/>
      <c r="O23" s="438"/>
      <c r="P23" s="439" t="s">
        <v>217</v>
      </c>
      <c r="Q23" s="738">
        <f>E23*8760*1/2000</f>
        <v>0.16340102354544869</v>
      </c>
      <c r="R23" s="739"/>
      <c r="S23" s="204" t="s">
        <v>19</v>
      </c>
      <c r="T23" s="281"/>
      <c r="U23" s="28"/>
    </row>
    <row r="24" spans="1:24" ht="18" thickBot="1" x14ac:dyDescent="0.35">
      <c r="A24" s="327"/>
      <c r="B24" s="254"/>
      <c r="C24" s="254"/>
      <c r="D24" s="254"/>
      <c r="E24" s="254"/>
      <c r="F24" s="440"/>
      <c r="G24" s="339"/>
      <c r="H24" s="254"/>
      <c r="I24" s="254"/>
      <c r="J24" s="339"/>
      <c r="K24" s="254"/>
      <c r="L24" s="254"/>
      <c r="M24" s="339"/>
      <c r="N24" s="339"/>
      <c r="O24" s="254"/>
      <c r="P24" s="441"/>
      <c r="Q24" s="254"/>
      <c r="R24" s="254"/>
      <c r="S24" s="254"/>
      <c r="T24" s="388"/>
    </row>
    <row r="25" spans="1:24" ht="18.75" thickTop="1" thickBot="1" x14ac:dyDescent="0.35">
      <c r="A25" s="177"/>
      <c r="B25" s="177"/>
      <c r="C25" s="177"/>
      <c r="D25" s="177"/>
      <c r="E25" s="177"/>
      <c r="F25" s="177"/>
      <c r="G25" s="196"/>
      <c r="H25" s="177"/>
      <c r="I25" s="177"/>
      <c r="J25" s="196"/>
      <c r="K25" s="177"/>
      <c r="L25" s="177"/>
      <c r="M25" s="196"/>
      <c r="N25" s="196"/>
      <c r="O25" s="177"/>
      <c r="P25" s="218"/>
      <c r="Q25" s="177"/>
      <c r="R25" s="177"/>
      <c r="S25" s="177"/>
      <c r="T25" s="177"/>
      <c r="W25" s="23"/>
    </row>
    <row r="26" spans="1:24" ht="18.75" thickTop="1" thickBot="1" x14ac:dyDescent="0.35">
      <c r="A26" s="389"/>
      <c r="B26" s="189"/>
      <c r="C26" s="189"/>
      <c r="D26" s="189"/>
      <c r="E26" s="189"/>
      <c r="F26" s="189"/>
      <c r="G26" s="233"/>
      <c r="H26" s="189"/>
      <c r="I26" s="189"/>
      <c r="J26" s="233"/>
      <c r="K26" s="189"/>
      <c r="L26" s="189"/>
      <c r="M26" s="233"/>
      <c r="N26" s="233"/>
      <c r="O26" s="189"/>
      <c r="P26" s="442"/>
      <c r="Q26" s="189"/>
      <c r="R26" s="189"/>
      <c r="S26" s="189"/>
      <c r="T26" s="390"/>
      <c r="V26" s="23"/>
    </row>
    <row r="27" spans="1:24" ht="18" thickBot="1" x14ac:dyDescent="0.35">
      <c r="A27" s="433" t="s">
        <v>61</v>
      </c>
      <c r="B27" s="434">
        <f>C8/24</f>
        <v>42.954166666666659</v>
      </c>
      <c r="C27" s="219" t="s">
        <v>42</v>
      </c>
      <c r="D27" s="435" t="s">
        <v>2</v>
      </c>
      <c r="E27" s="593" t="s">
        <v>337</v>
      </c>
      <c r="F27" s="204"/>
      <c r="G27" s="435" t="s">
        <v>2</v>
      </c>
      <c r="H27" s="220">
        <f>C12</f>
        <v>44.35</v>
      </c>
      <c r="I27" s="211" t="s">
        <v>47</v>
      </c>
      <c r="J27" s="211"/>
      <c r="K27" s="212"/>
      <c r="L27" s="196" t="s">
        <v>2</v>
      </c>
      <c r="M27" s="221">
        <f>C16</f>
        <v>0.13930000000000001</v>
      </c>
      <c r="N27" s="436" t="s">
        <v>2</v>
      </c>
      <c r="O27" s="260">
        <f>(1-Input!$C$29)</f>
        <v>1.0000000000000009E-2</v>
      </c>
      <c r="P27" s="439" t="s">
        <v>217</v>
      </c>
      <c r="Q27" s="738">
        <f>(B27*1/379*H27*M27)*P18</f>
        <v>7.0018181722735339E-3</v>
      </c>
      <c r="R27" s="739"/>
      <c r="S27" s="204" t="s">
        <v>1</v>
      </c>
      <c r="T27" s="281"/>
      <c r="V27" s="23"/>
      <c r="W27" s="23"/>
    </row>
    <row r="28" spans="1:24" ht="17.25" x14ac:dyDescent="0.3">
      <c r="A28" s="433"/>
      <c r="B28" s="437"/>
      <c r="C28" s="248"/>
      <c r="D28" s="177"/>
      <c r="E28" s="273"/>
      <c r="F28" s="273"/>
      <c r="G28" s="196"/>
      <c r="H28" s="196"/>
      <c r="I28" s="177"/>
      <c r="J28" s="177"/>
      <c r="K28" s="177"/>
      <c r="L28" s="177"/>
      <c r="M28" s="177"/>
      <c r="N28" s="177"/>
      <c r="O28" s="177"/>
      <c r="P28" s="232"/>
      <c r="Q28" s="227"/>
      <c r="R28" s="243"/>
      <c r="S28" s="177"/>
      <c r="T28" s="281"/>
    </row>
    <row r="29" spans="1:24" ht="18" thickBot="1" x14ac:dyDescent="0.35">
      <c r="A29" s="433"/>
      <c r="B29" s="437"/>
      <c r="C29" s="196"/>
      <c r="D29" s="177"/>
      <c r="E29" s="177"/>
      <c r="F29" s="177"/>
      <c r="G29" s="196"/>
      <c r="H29" s="196"/>
      <c r="I29" s="177"/>
      <c r="J29" s="177"/>
      <c r="K29" s="177"/>
      <c r="L29" s="177"/>
      <c r="M29" s="177"/>
      <c r="N29" s="177"/>
      <c r="O29" s="177"/>
      <c r="P29" s="257"/>
      <c r="Q29" s="177"/>
      <c r="R29" s="177"/>
      <c r="S29" s="177"/>
      <c r="T29" s="281"/>
    </row>
    <row r="30" spans="1:24" ht="18" thickBot="1" x14ac:dyDescent="0.35">
      <c r="A30" s="433"/>
      <c r="B30" s="231"/>
      <c r="C30" s="196"/>
      <c r="D30" s="177"/>
      <c r="E30" s="265">
        <f>Q27</f>
        <v>7.0018181722735339E-3</v>
      </c>
      <c r="F30" s="212" t="s">
        <v>1</v>
      </c>
      <c r="G30" s="196" t="s">
        <v>2</v>
      </c>
      <c r="H30" s="742" t="s">
        <v>50</v>
      </c>
      <c r="I30" s="743"/>
      <c r="J30" s="744"/>
      <c r="K30" s="196" t="s">
        <v>2</v>
      </c>
      <c r="L30" s="222" t="s">
        <v>49</v>
      </c>
      <c r="M30" s="212"/>
      <c r="N30" s="436"/>
      <c r="O30" s="438"/>
      <c r="P30" s="439" t="s">
        <v>217</v>
      </c>
      <c r="Q30" s="738">
        <f>E30*8760*1/2000</f>
        <v>3.0667963594558079E-2</v>
      </c>
      <c r="R30" s="739"/>
      <c r="S30" s="204" t="s">
        <v>19</v>
      </c>
      <c r="T30" s="281"/>
    </row>
    <row r="31" spans="1:24" ht="18" thickBot="1" x14ac:dyDescent="0.35">
      <c r="A31" s="327"/>
      <c r="B31" s="254"/>
      <c r="C31" s="254"/>
      <c r="D31" s="254"/>
      <c r="E31" s="254"/>
      <c r="F31" s="440"/>
      <c r="G31" s="339"/>
      <c r="H31" s="254"/>
      <c r="I31" s="254"/>
      <c r="J31" s="339"/>
      <c r="K31" s="254"/>
      <c r="L31" s="254"/>
      <c r="M31" s="339"/>
      <c r="N31" s="339"/>
      <c r="O31" s="254"/>
      <c r="P31" s="441"/>
      <c r="Q31" s="254"/>
      <c r="R31" s="254"/>
      <c r="S31" s="254"/>
      <c r="T31" s="388"/>
    </row>
    <row r="32" spans="1:24" ht="18.75" thickTop="1" thickBot="1" x14ac:dyDescent="0.35">
      <c r="A32" s="200"/>
      <c r="B32" s="200"/>
      <c r="C32" s="200"/>
      <c r="D32" s="200"/>
      <c r="E32" s="200"/>
      <c r="F32" s="200"/>
      <c r="G32" s="208"/>
      <c r="H32" s="200"/>
      <c r="I32" s="200"/>
      <c r="J32" s="208"/>
      <c r="K32" s="200"/>
      <c r="L32" s="200"/>
      <c r="M32" s="208"/>
      <c r="N32" s="208"/>
      <c r="O32" s="200"/>
      <c r="P32" s="223"/>
      <c r="Q32" s="200"/>
      <c r="R32" s="200"/>
      <c r="S32" s="200"/>
      <c r="T32" s="200"/>
    </row>
    <row r="33" spans="1:23" ht="18.75" thickTop="1" thickBot="1" x14ac:dyDescent="0.35">
      <c r="A33" s="389"/>
      <c r="B33" s="189"/>
      <c r="C33" s="189"/>
      <c r="D33" s="189"/>
      <c r="E33" s="189"/>
      <c r="F33" s="189"/>
      <c r="G33" s="233"/>
      <c r="H33" s="189"/>
      <c r="I33" s="189"/>
      <c r="J33" s="233"/>
      <c r="K33" s="189"/>
      <c r="L33" s="189"/>
      <c r="M33" s="233"/>
      <c r="N33" s="233"/>
      <c r="O33" s="189"/>
      <c r="P33" s="442"/>
      <c r="Q33" s="189"/>
      <c r="R33" s="189"/>
      <c r="S33" s="189"/>
      <c r="T33" s="390"/>
    </row>
    <row r="34" spans="1:23" ht="18" thickBot="1" x14ac:dyDescent="0.35">
      <c r="A34" s="433" t="s">
        <v>52</v>
      </c>
      <c r="B34" s="434">
        <f>C8/24</f>
        <v>42.954166666666659</v>
      </c>
      <c r="C34" s="219" t="s">
        <v>42</v>
      </c>
      <c r="D34" s="435" t="s">
        <v>2</v>
      </c>
      <c r="E34" s="434">
        <f>C10</f>
        <v>2271.5</v>
      </c>
      <c r="F34" s="210" t="s">
        <v>41</v>
      </c>
      <c r="G34" s="196" t="s">
        <v>2</v>
      </c>
      <c r="H34" s="742" t="s">
        <v>146</v>
      </c>
      <c r="I34" s="743"/>
      <c r="J34" s="743"/>
      <c r="K34" s="744"/>
      <c r="L34" s="436" t="s">
        <v>2</v>
      </c>
      <c r="M34" s="224">
        <v>6.8000000000000005E-2</v>
      </c>
      <c r="N34" s="225" t="s">
        <v>57</v>
      </c>
      <c r="O34" s="435" t="s">
        <v>0</v>
      </c>
      <c r="P34" s="275">
        <f>B34*E34*1/1000000*M34</f>
        <v>6.634786491666665E-3</v>
      </c>
      <c r="Q34" s="227" t="s">
        <v>1</v>
      </c>
      <c r="R34" s="207"/>
      <c r="S34" s="177"/>
      <c r="T34" s="281"/>
      <c r="W34" s="23"/>
    </row>
    <row r="35" spans="1:23" ht="17.25" x14ac:dyDescent="0.3">
      <c r="A35" s="433"/>
      <c r="B35" s="437"/>
      <c r="C35" s="248"/>
      <c r="D35" s="177"/>
      <c r="E35" s="177"/>
      <c r="F35" s="177"/>
      <c r="G35" s="196"/>
      <c r="H35" s="196"/>
      <c r="I35" s="177"/>
      <c r="J35" s="177"/>
      <c r="K35" s="177"/>
      <c r="L35" s="177"/>
      <c r="M35" s="177"/>
      <c r="N35" s="177"/>
      <c r="O35" s="177"/>
      <c r="P35" s="232"/>
      <c r="Q35" s="227"/>
      <c r="R35" s="177"/>
      <c r="S35" s="177"/>
      <c r="T35" s="281"/>
    </row>
    <row r="36" spans="1:23" ht="18" thickBot="1" x14ac:dyDescent="0.35">
      <c r="A36" s="433"/>
      <c r="B36" s="437"/>
      <c r="C36" s="196"/>
      <c r="D36" s="177"/>
      <c r="E36" s="177"/>
      <c r="F36" s="177"/>
      <c r="G36" s="196"/>
      <c r="H36" s="196"/>
      <c r="I36" s="177"/>
      <c r="J36" s="177"/>
      <c r="K36" s="177"/>
      <c r="L36" s="216"/>
      <c r="M36" s="216"/>
      <c r="N36" s="177"/>
      <c r="O36" s="177"/>
      <c r="P36" s="257"/>
      <c r="Q36" s="177"/>
      <c r="R36" s="177"/>
      <c r="S36" s="177"/>
      <c r="T36" s="281"/>
    </row>
    <row r="37" spans="1:23" ht="18" thickBot="1" x14ac:dyDescent="0.35">
      <c r="A37" s="433"/>
      <c r="B37" s="231"/>
      <c r="C37" s="196"/>
      <c r="D37" s="177"/>
      <c r="E37" s="265">
        <f>P34</f>
        <v>6.634786491666665E-3</v>
      </c>
      <c r="F37" s="228" t="s">
        <v>1</v>
      </c>
      <c r="G37" s="196" t="s">
        <v>2</v>
      </c>
      <c r="H37" s="742" t="s">
        <v>50</v>
      </c>
      <c r="I37" s="743"/>
      <c r="J37" s="744"/>
      <c r="K37" s="443" t="s">
        <v>2</v>
      </c>
      <c r="L37" s="761" t="s">
        <v>49</v>
      </c>
      <c r="M37" s="762"/>
      <c r="N37" s="759" t="s">
        <v>0</v>
      </c>
      <c r="O37" s="760"/>
      <c r="P37" s="275">
        <f>E37*8760*1/2000</f>
        <v>2.9060364833499993E-2</v>
      </c>
      <c r="Q37" s="227" t="s">
        <v>19</v>
      </c>
      <c r="R37" s="207"/>
      <c r="S37" s="177"/>
      <c r="T37" s="281"/>
    </row>
    <row r="38" spans="1:23" ht="18" thickBot="1" x14ac:dyDescent="0.35">
      <c r="A38" s="444"/>
      <c r="B38" s="445"/>
      <c r="C38" s="339"/>
      <c r="D38" s="254"/>
      <c r="E38" s="446"/>
      <c r="F38" s="254"/>
      <c r="G38" s="339"/>
      <c r="H38" s="339"/>
      <c r="I38" s="339"/>
      <c r="J38" s="339"/>
      <c r="K38" s="339"/>
      <c r="L38" s="440"/>
      <c r="M38" s="440"/>
      <c r="N38" s="254"/>
      <c r="O38" s="339"/>
      <c r="P38" s="446"/>
      <c r="Q38" s="440"/>
      <c r="R38" s="254"/>
      <c r="S38" s="254"/>
      <c r="T38" s="388"/>
    </row>
    <row r="39" spans="1:23" ht="18.75" thickTop="1" thickBot="1" x14ac:dyDescent="0.35">
      <c r="A39" s="200"/>
      <c r="B39" s="200"/>
      <c r="C39" s="200"/>
      <c r="D39" s="200"/>
      <c r="E39" s="200"/>
      <c r="F39" s="200"/>
      <c r="G39" s="208"/>
      <c r="H39" s="200"/>
      <c r="I39" s="200"/>
      <c r="J39" s="208"/>
      <c r="K39" s="200"/>
      <c r="L39" s="200"/>
      <c r="M39" s="208"/>
      <c r="N39" s="208"/>
      <c r="O39" s="200"/>
      <c r="P39" s="223"/>
      <c r="Q39" s="200"/>
      <c r="R39" s="200"/>
      <c r="S39" s="200"/>
      <c r="T39" s="200"/>
      <c r="V39" s="23"/>
    </row>
    <row r="40" spans="1:23" ht="18.75" thickTop="1" thickBot="1" x14ac:dyDescent="0.35">
      <c r="A40" s="389"/>
      <c r="B40" s="189"/>
      <c r="C40" s="189"/>
      <c r="D40" s="189"/>
      <c r="E40" s="189"/>
      <c r="F40" s="189"/>
      <c r="G40" s="233"/>
      <c r="H40" s="189"/>
      <c r="I40" s="189"/>
      <c r="J40" s="233"/>
      <c r="K40" s="189"/>
      <c r="L40" s="189"/>
      <c r="M40" s="233"/>
      <c r="N40" s="233"/>
      <c r="O40" s="189"/>
      <c r="P40" s="442"/>
      <c r="Q40" s="189"/>
      <c r="R40" s="189"/>
      <c r="S40" s="189"/>
      <c r="T40" s="390"/>
    </row>
    <row r="41" spans="1:23" ht="18" thickBot="1" x14ac:dyDescent="0.35">
      <c r="A41" s="433" t="s">
        <v>38</v>
      </c>
      <c r="B41" s="434">
        <f>C8/24</f>
        <v>42.954166666666659</v>
      </c>
      <c r="C41" s="219" t="s">
        <v>42</v>
      </c>
      <c r="D41" s="435" t="s">
        <v>2</v>
      </c>
      <c r="E41" s="434">
        <f>C10</f>
        <v>2271.5</v>
      </c>
      <c r="F41" s="219" t="s">
        <v>41</v>
      </c>
      <c r="G41" s="196" t="s">
        <v>2</v>
      </c>
      <c r="H41" s="742" t="s">
        <v>146</v>
      </c>
      <c r="I41" s="743"/>
      <c r="J41" s="743"/>
      <c r="K41" s="744"/>
      <c r="L41" s="196" t="s">
        <v>2</v>
      </c>
      <c r="M41" s="224">
        <f>IF(Input!B28="Steffes SHP-6",0.015,IF(Input!B28="Steffes SHC-6",0.015,IF(Input!B28="Steffes SVG-3B4",0.03,0.31)))</f>
        <v>1.4999999999999999E-2</v>
      </c>
      <c r="N41" s="225" t="s">
        <v>57</v>
      </c>
      <c r="O41" s="196" t="s">
        <v>0</v>
      </c>
      <c r="P41" s="275">
        <f>B41*E41*1/1000000*M41</f>
        <v>1.4635558437499996E-3</v>
      </c>
      <c r="Q41" s="229" t="s">
        <v>1</v>
      </c>
      <c r="R41" s="177"/>
      <c r="S41" s="177"/>
      <c r="T41" s="281"/>
      <c r="U41" s="28"/>
      <c r="V41" s="23"/>
    </row>
    <row r="42" spans="1:23" ht="17.25" x14ac:dyDescent="0.3">
      <c r="A42" s="433"/>
      <c r="B42" s="437"/>
      <c r="C42" s="196"/>
      <c r="D42" s="177"/>
      <c r="E42" s="177"/>
      <c r="F42" s="177"/>
      <c r="G42" s="196"/>
      <c r="H42" s="196"/>
      <c r="I42" s="177"/>
      <c r="J42" s="177"/>
      <c r="K42" s="177"/>
      <c r="L42" s="177"/>
      <c r="M42" s="177"/>
      <c r="N42" s="177"/>
      <c r="O42" s="177"/>
      <c r="P42" s="232"/>
      <c r="Q42" s="227"/>
      <c r="R42" s="177"/>
      <c r="S42" s="177"/>
      <c r="T42" s="281"/>
    </row>
    <row r="43" spans="1:23" ht="18" thickBot="1" x14ac:dyDescent="0.35">
      <c r="A43" s="433"/>
      <c r="B43" s="437"/>
      <c r="C43" s="196"/>
      <c r="D43" s="177"/>
      <c r="E43" s="177"/>
      <c r="F43" s="177"/>
      <c r="G43" s="196"/>
      <c r="H43" s="196"/>
      <c r="I43" s="177"/>
      <c r="J43" s="177"/>
      <c r="K43" s="177"/>
      <c r="L43" s="177"/>
      <c r="M43" s="177"/>
      <c r="N43" s="177"/>
      <c r="O43" s="177"/>
      <c r="P43" s="257"/>
      <c r="Q43" s="216"/>
      <c r="R43" s="177"/>
      <c r="S43" s="177"/>
      <c r="T43" s="281"/>
    </row>
    <row r="44" spans="1:23" ht="18" thickBot="1" x14ac:dyDescent="0.35">
      <c r="A44" s="433"/>
      <c r="B44" s="231"/>
      <c r="C44" s="196"/>
      <c r="D44" s="177"/>
      <c r="E44" s="265">
        <f>P41</f>
        <v>1.4635558437499996E-3</v>
      </c>
      <c r="F44" s="228" t="s">
        <v>1</v>
      </c>
      <c r="G44" s="196" t="s">
        <v>2</v>
      </c>
      <c r="H44" s="742" t="s">
        <v>50</v>
      </c>
      <c r="I44" s="743"/>
      <c r="J44" s="744"/>
      <c r="K44" s="196" t="s">
        <v>2</v>
      </c>
      <c r="L44" s="761" t="s">
        <v>49</v>
      </c>
      <c r="M44" s="762"/>
      <c r="N44" s="759" t="s">
        <v>0</v>
      </c>
      <c r="O44" s="760"/>
      <c r="P44" s="275">
        <f>E44*8760*1/2000</f>
        <v>6.410374595624998E-3</v>
      </c>
      <c r="Q44" s="205" t="s">
        <v>19</v>
      </c>
      <c r="R44" s="207"/>
      <c r="S44" s="177"/>
      <c r="T44" s="281"/>
    </row>
    <row r="45" spans="1:23" ht="18" thickBot="1" x14ac:dyDescent="0.35">
      <c r="A45" s="444"/>
      <c r="B45" s="445"/>
      <c r="C45" s="339"/>
      <c r="D45" s="254"/>
      <c r="E45" s="446"/>
      <c r="F45" s="254"/>
      <c r="G45" s="339"/>
      <c r="H45" s="339"/>
      <c r="I45" s="339"/>
      <c r="J45" s="339"/>
      <c r="K45" s="339"/>
      <c r="L45" s="254"/>
      <c r="M45" s="254"/>
      <c r="N45" s="254"/>
      <c r="O45" s="339"/>
      <c r="P45" s="447"/>
      <c r="Q45" s="254"/>
      <c r="R45" s="254"/>
      <c r="S45" s="254"/>
      <c r="T45" s="388"/>
    </row>
    <row r="46" spans="1:23" ht="18" thickTop="1" x14ac:dyDescent="0.3">
      <c r="A46" s="230"/>
      <c r="B46" s="231"/>
      <c r="C46" s="196"/>
      <c r="D46" s="177"/>
      <c r="E46" s="232"/>
      <c r="F46" s="177"/>
      <c r="G46" s="196"/>
      <c r="H46" s="196"/>
      <c r="I46" s="196"/>
      <c r="J46" s="196"/>
      <c r="K46" s="233"/>
      <c r="L46" s="189"/>
      <c r="M46" s="189"/>
      <c r="N46" s="189"/>
      <c r="O46" s="233"/>
      <c r="P46" s="234"/>
      <c r="Q46" s="189"/>
      <c r="R46" s="189"/>
      <c r="S46" s="189"/>
      <c r="T46" s="189"/>
    </row>
    <row r="47" spans="1:23" ht="17.25" x14ac:dyDescent="0.3">
      <c r="A47" s="758" t="s">
        <v>355</v>
      </c>
      <c r="B47" s="758"/>
      <c r="C47" s="758"/>
      <c r="D47" s="758"/>
      <c r="E47" s="758"/>
      <c r="F47" s="758"/>
      <c r="G47" s="758"/>
      <c r="H47" s="758"/>
      <c r="I47" s="758"/>
      <c r="J47" s="758"/>
      <c r="K47" s="758"/>
      <c r="L47" s="758"/>
      <c r="M47" s="758"/>
      <c r="N47" s="758"/>
      <c r="O47" s="758"/>
      <c r="P47" s="758"/>
      <c r="Q47" s="758"/>
      <c r="R47" s="758"/>
      <c r="S47" s="758"/>
      <c r="T47" s="758"/>
    </row>
    <row r="48" spans="1:23" ht="17.25" x14ac:dyDescent="0.3">
      <c r="A48" s="170"/>
      <c r="B48" s="170"/>
      <c r="C48" s="170"/>
      <c r="D48" s="170"/>
      <c r="E48" s="170"/>
      <c r="F48" s="170"/>
      <c r="G48" s="448"/>
      <c r="H48" s="170"/>
      <c r="I48" s="170"/>
      <c r="J48" s="236"/>
      <c r="K48" s="237"/>
      <c r="L48" s="237"/>
      <c r="M48" s="238"/>
      <c r="N48" s="238"/>
      <c r="O48" s="238"/>
      <c r="P48" s="238"/>
      <c r="Q48" s="238"/>
      <c r="R48" s="238"/>
      <c r="S48" s="238"/>
      <c r="T48" s="238"/>
      <c r="W48" s="23"/>
    </row>
    <row r="49" spans="1:21" x14ac:dyDescent="0.2">
      <c r="A49" s="86"/>
      <c r="B49" s="86"/>
      <c r="C49" s="86"/>
      <c r="D49" s="86"/>
      <c r="E49" s="86"/>
      <c r="F49" s="86"/>
      <c r="G49" s="449"/>
      <c r="H49" s="86"/>
      <c r="I49" s="86"/>
      <c r="J49" s="86"/>
      <c r="K49" s="86"/>
      <c r="L49" s="86"/>
      <c r="M49" s="59"/>
      <c r="N49" s="59"/>
      <c r="O49" s="59"/>
      <c r="P49" s="59"/>
      <c r="Q49" s="59"/>
      <c r="R49" s="59"/>
      <c r="S49" s="59"/>
      <c r="T49" s="59"/>
    </row>
    <row r="50" spans="1:21" x14ac:dyDescent="0.2">
      <c r="A50" s="86"/>
      <c r="B50" s="86"/>
      <c r="C50" s="86"/>
      <c r="D50" s="86"/>
      <c r="E50" s="86"/>
      <c r="F50" s="86"/>
      <c r="G50" s="449"/>
      <c r="H50" s="86"/>
      <c r="I50" s="86"/>
      <c r="J50" s="86"/>
      <c r="K50" s="86"/>
      <c r="L50" s="86"/>
      <c r="M50" s="59"/>
      <c r="N50" s="59"/>
      <c r="O50" s="59"/>
      <c r="P50" s="59"/>
      <c r="Q50" s="59"/>
      <c r="R50" s="59"/>
      <c r="S50" s="59"/>
      <c r="T50" s="59"/>
    </row>
    <row r="51" spans="1:21" x14ac:dyDescent="0.2">
      <c r="A51" s="86"/>
      <c r="B51" s="86"/>
      <c r="C51" s="86"/>
      <c r="D51" s="86"/>
      <c r="E51" s="86"/>
      <c r="F51" s="86"/>
      <c r="G51" s="449"/>
      <c r="H51" s="86"/>
      <c r="I51" s="86"/>
      <c r="J51" s="86"/>
      <c r="K51" s="86"/>
      <c r="L51" s="86"/>
      <c r="M51" s="59"/>
      <c r="N51" s="59"/>
      <c r="O51" s="59"/>
      <c r="P51" s="59"/>
      <c r="Q51" s="59"/>
      <c r="R51" s="59"/>
      <c r="S51" s="59"/>
      <c r="T51" s="59"/>
    </row>
    <row r="52" spans="1:21" x14ac:dyDescent="0.2">
      <c r="A52" s="86"/>
      <c r="B52" s="86"/>
      <c r="C52" s="86"/>
      <c r="D52" s="86"/>
      <c r="E52" s="86"/>
      <c r="F52" s="86"/>
      <c r="G52" s="449"/>
      <c r="H52" s="86"/>
      <c r="I52" s="86"/>
      <c r="J52" s="86"/>
      <c r="K52" s="86"/>
      <c r="L52" s="86"/>
      <c r="M52" s="59"/>
      <c r="N52" s="59"/>
      <c r="O52" s="59"/>
      <c r="P52" s="59"/>
      <c r="Q52" s="59"/>
      <c r="R52" s="59"/>
      <c r="S52" s="59"/>
      <c r="T52" s="59"/>
    </row>
    <row r="53" spans="1:21" x14ac:dyDescent="0.2">
      <c r="A53" s="86"/>
      <c r="B53" s="86"/>
      <c r="C53" s="86"/>
      <c r="D53" s="86"/>
      <c r="E53" s="86"/>
      <c r="F53" s="86"/>
      <c r="G53" s="449"/>
      <c r="H53" s="86"/>
      <c r="I53" s="86"/>
      <c r="J53" s="86"/>
      <c r="K53" s="86"/>
      <c r="L53" s="86"/>
      <c r="M53" s="59"/>
      <c r="N53" s="59"/>
      <c r="O53" s="59"/>
      <c r="P53" s="59"/>
      <c r="Q53" s="59"/>
      <c r="R53" s="59"/>
      <c r="S53" s="59"/>
      <c r="T53" s="59"/>
    </row>
    <row r="54" spans="1:21" x14ac:dyDescent="0.2">
      <c r="A54" s="86"/>
      <c r="B54" s="86"/>
      <c r="C54" s="86"/>
      <c r="D54" s="86"/>
      <c r="E54" s="86"/>
      <c r="F54" s="86"/>
      <c r="G54" s="449"/>
      <c r="H54" s="86"/>
      <c r="I54" s="86"/>
      <c r="J54" s="86"/>
      <c r="K54" s="86"/>
      <c r="L54" s="86"/>
      <c r="M54" s="59"/>
      <c r="N54" s="59"/>
      <c r="O54" s="59"/>
      <c r="P54" s="59"/>
      <c r="Q54" s="59"/>
      <c r="R54" s="59"/>
      <c r="S54" s="59"/>
      <c r="T54" s="59"/>
    </row>
    <row r="55" spans="1:21" x14ac:dyDescent="0.2">
      <c r="A55" s="86"/>
      <c r="B55" s="86"/>
      <c r="C55" s="86"/>
      <c r="D55" s="86"/>
      <c r="E55" s="86"/>
      <c r="F55" s="86"/>
      <c r="G55" s="449"/>
      <c r="H55" s="86"/>
      <c r="I55" s="86"/>
      <c r="J55" s="86"/>
      <c r="K55" s="86"/>
      <c r="L55" s="86"/>
      <c r="M55" s="59"/>
      <c r="N55" s="59"/>
      <c r="O55" s="59"/>
      <c r="P55" s="59"/>
      <c r="Q55" s="59"/>
      <c r="R55" s="59"/>
      <c r="S55" s="59"/>
      <c r="T55" s="59"/>
    </row>
    <row r="56" spans="1:21" x14ac:dyDescent="0.2">
      <c r="A56" s="86"/>
      <c r="B56" s="86"/>
      <c r="C56" s="86"/>
      <c r="D56" s="86"/>
      <c r="E56" s="86"/>
      <c r="F56" s="86"/>
      <c r="G56" s="449"/>
      <c r="H56" s="86"/>
      <c r="I56" s="86"/>
      <c r="J56" s="86"/>
      <c r="K56" s="86"/>
      <c r="L56" s="86"/>
      <c r="M56" s="59"/>
      <c r="N56" s="59"/>
      <c r="O56" s="59"/>
      <c r="P56" s="59"/>
      <c r="Q56" s="59"/>
      <c r="R56" s="59"/>
      <c r="S56" s="59"/>
      <c r="T56" s="59"/>
    </row>
    <row r="57" spans="1:21" x14ac:dyDescent="0.2">
      <c r="A57" s="86"/>
      <c r="B57" s="86"/>
      <c r="C57" s="86"/>
      <c r="D57" s="86"/>
      <c r="E57" s="86"/>
      <c r="F57" s="86"/>
      <c r="G57" s="449"/>
      <c r="H57" s="86"/>
      <c r="I57" s="86"/>
      <c r="J57" s="86"/>
      <c r="K57" s="86"/>
      <c r="L57" s="86"/>
      <c r="M57" s="59"/>
      <c r="N57" s="59"/>
      <c r="O57" s="59"/>
      <c r="P57" s="59"/>
      <c r="Q57" s="59"/>
      <c r="R57" s="59"/>
      <c r="S57" s="59"/>
      <c r="T57" s="59"/>
    </row>
    <row r="58" spans="1:21" x14ac:dyDescent="0.2">
      <c r="A58" s="86"/>
      <c r="B58" s="86"/>
      <c r="C58" s="86"/>
      <c r="D58" s="86"/>
      <c r="E58" s="86"/>
      <c r="F58" s="86"/>
      <c r="G58" s="449"/>
      <c r="H58" s="86"/>
      <c r="I58" s="86"/>
      <c r="J58" s="86"/>
      <c r="K58" s="86"/>
      <c r="L58" s="86"/>
      <c r="M58" s="59"/>
      <c r="N58" s="59"/>
      <c r="O58" s="59"/>
      <c r="P58" s="59"/>
      <c r="Q58" s="59"/>
      <c r="R58" s="59"/>
      <c r="S58" s="59"/>
      <c r="T58" s="59"/>
      <c r="U58" s="23"/>
    </row>
    <row r="59" spans="1:21" x14ac:dyDescent="0.2">
      <c r="A59" s="86"/>
      <c r="B59" s="86"/>
      <c r="C59" s="86"/>
      <c r="D59" s="86"/>
      <c r="E59" s="86"/>
      <c r="F59" s="86"/>
      <c r="G59" s="449"/>
      <c r="H59" s="86"/>
      <c r="I59" s="86"/>
      <c r="J59" s="86"/>
      <c r="K59" s="86"/>
      <c r="L59" s="86"/>
    </row>
  </sheetData>
  <sheetProtection selectLockedCells="1"/>
  <mergeCells count="27">
    <mergeCell ref="A47:T47"/>
    <mergeCell ref="N37:O37"/>
    <mergeCell ref="N44:O44"/>
    <mergeCell ref="H30:J30"/>
    <mergeCell ref="H41:K41"/>
    <mergeCell ref="H34:K34"/>
    <mergeCell ref="H44:J44"/>
    <mergeCell ref="L44:M44"/>
    <mergeCell ref="H37:J37"/>
    <mergeCell ref="L37:M37"/>
    <mergeCell ref="A10:B10"/>
    <mergeCell ref="C10:D10"/>
    <mergeCell ref="B2:S2"/>
    <mergeCell ref="B4:S4"/>
    <mergeCell ref="A8:B8"/>
    <mergeCell ref="C8:D8"/>
    <mergeCell ref="A12:B12"/>
    <mergeCell ref="C12:D12"/>
    <mergeCell ref="A14:B14"/>
    <mergeCell ref="C14:D14"/>
    <mergeCell ref="C16:D16"/>
    <mergeCell ref="Q20:R20"/>
    <mergeCell ref="Q23:R23"/>
    <mergeCell ref="H17:O17"/>
    <mergeCell ref="Q27:R27"/>
    <mergeCell ref="Q30:R30"/>
    <mergeCell ref="H23:J23"/>
  </mergeCells>
  <phoneticPr fontId="0" type="noConversion"/>
  <printOptions horizontalCentered="1" verticalCentered="1"/>
  <pageMargins left="0.25" right="0.25" top="0.75" bottom="0.75" header="0.3" footer="0.3"/>
  <pageSetup scale="65" orientation="portrait" horizontalDpi="4294967293" r:id="rId1"/>
  <headerFooter alignWithMargins="0"/>
  <rowBreaks count="1" manualBreakCount="1">
    <brk id="38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W77"/>
  <sheetViews>
    <sheetView zoomScaleNormal="100" workbookViewId="0">
      <selection activeCell="K55" sqref="K55"/>
    </sheetView>
  </sheetViews>
  <sheetFormatPr defaultRowHeight="12.75" x14ac:dyDescent="0.2"/>
  <cols>
    <col min="1" max="1" width="14.42578125" customWidth="1"/>
    <col min="2" max="2" width="9.140625" customWidth="1"/>
    <col min="3" max="3" width="7.140625" customWidth="1"/>
    <col min="4" max="4" width="3.140625" customWidth="1"/>
    <col min="5" max="5" width="11.5703125" customWidth="1"/>
    <col min="6" max="6" width="7.7109375" customWidth="1"/>
    <col min="7" max="7" width="3.42578125" customWidth="1"/>
    <col min="8" max="8" width="11.85546875" customWidth="1"/>
    <col min="9" max="9" width="12.5703125" customWidth="1"/>
    <col min="10" max="10" width="6.140625" customWidth="1"/>
    <col min="11" max="11" width="8.42578125" style="17" customWidth="1"/>
    <col min="12" max="12" width="11.140625" style="17" customWidth="1"/>
    <col min="13" max="13" width="9.42578125" customWidth="1"/>
    <col min="14" max="14" width="8.140625" customWidth="1"/>
    <col min="15" max="15" width="6" customWidth="1"/>
    <col min="16" max="16" width="5.5703125" bestFit="1" customWidth="1"/>
    <col min="17" max="17" width="4.28515625" bestFit="1" customWidth="1"/>
    <col min="18" max="18" width="1.7109375" bestFit="1" customWidth="1"/>
    <col min="19" max="19" width="10.5703125" customWidth="1"/>
  </cols>
  <sheetData>
    <row r="1" spans="1:19" ht="18.75" thickTop="1" thickBot="1" x14ac:dyDescent="0.35">
      <c r="A1" s="389"/>
      <c r="B1" s="189"/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390"/>
    </row>
    <row r="2" spans="1:19" ht="32.25" thickTop="1" thickBot="1" x14ac:dyDescent="0.6">
      <c r="A2" s="325"/>
      <c r="B2" s="753" t="str">
        <f>Input!B7</f>
        <v>55555, 55556, 55557</v>
      </c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5"/>
      <c r="S2" s="281"/>
    </row>
    <row r="3" spans="1:19" ht="18.75" thickTop="1" thickBot="1" x14ac:dyDescent="0.35">
      <c r="A3" s="325"/>
      <c r="B3" s="177"/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281"/>
    </row>
    <row r="4" spans="1:19" ht="32.25" thickTop="1" thickBot="1" x14ac:dyDescent="0.6">
      <c r="A4" s="325"/>
      <c r="B4" s="753" t="s">
        <v>62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5"/>
      <c r="S4" s="281"/>
    </row>
    <row r="5" spans="1:19" ht="18.75" thickTop="1" thickBot="1" x14ac:dyDescent="0.35">
      <c r="A5" s="426"/>
      <c r="B5" s="254"/>
      <c r="C5" s="254"/>
      <c r="D5" s="254"/>
      <c r="E5" s="254"/>
      <c r="F5" s="254"/>
      <c r="G5" s="254"/>
      <c r="H5" s="254"/>
      <c r="I5" s="254"/>
      <c r="J5" s="254"/>
      <c r="K5" s="339"/>
      <c r="L5" s="339"/>
      <c r="M5" s="254"/>
      <c r="N5" s="254"/>
      <c r="O5" s="254"/>
      <c r="P5" s="254"/>
      <c r="Q5" s="254"/>
      <c r="R5" s="254"/>
      <c r="S5" s="388"/>
    </row>
    <row r="6" spans="1:19" ht="18.75" thickTop="1" thickBot="1" x14ac:dyDescent="0.35">
      <c r="A6" s="200"/>
      <c r="B6" s="200"/>
      <c r="C6" s="200"/>
      <c r="D6" s="200"/>
      <c r="E6" s="200"/>
      <c r="F6" s="200"/>
      <c r="G6" s="200"/>
      <c r="H6" s="200"/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0"/>
    </row>
    <row r="7" spans="1:19" ht="18.75" thickTop="1" thickBot="1" x14ac:dyDescent="0.35">
      <c r="A7" s="389"/>
      <c r="B7" s="189"/>
      <c r="C7" s="189"/>
      <c r="D7" s="189"/>
      <c r="E7" s="427"/>
      <c r="F7" s="390"/>
      <c r="G7" s="200"/>
      <c r="H7" s="200"/>
      <c r="I7" s="200"/>
      <c r="J7" s="200"/>
      <c r="K7" s="201"/>
      <c r="L7" s="201"/>
      <c r="M7" s="200"/>
      <c r="N7" s="200"/>
      <c r="O7" s="200"/>
      <c r="P7" s="200"/>
      <c r="Q7" s="200"/>
      <c r="R7" s="200"/>
      <c r="S7" s="200"/>
    </row>
    <row r="8" spans="1:19" ht="18" thickBot="1" x14ac:dyDescent="0.35">
      <c r="A8" s="745" t="s">
        <v>46</v>
      </c>
      <c r="B8" s="746"/>
      <c r="C8" s="765">
        <f>Input!C14*1000</f>
        <v>46200</v>
      </c>
      <c r="D8" s="757"/>
      <c r="E8" s="239" t="s">
        <v>116</v>
      </c>
      <c r="F8" s="281"/>
      <c r="G8" s="200"/>
      <c r="H8" s="200"/>
      <c r="I8" s="200"/>
      <c r="J8" s="200"/>
      <c r="K8" s="240"/>
      <c r="L8" s="240"/>
      <c r="M8" s="200"/>
      <c r="N8" s="200"/>
      <c r="O8" s="200"/>
      <c r="P8" s="200"/>
      <c r="Q8" s="200"/>
      <c r="R8" s="200"/>
      <c r="S8" s="200"/>
    </row>
    <row r="9" spans="1:19" ht="18" thickBot="1" x14ac:dyDescent="0.35">
      <c r="A9" s="325"/>
      <c r="B9" s="177"/>
      <c r="C9" s="177"/>
      <c r="D9" s="177"/>
      <c r="E9" s="177"/>
      <c r="F9" s="281"/>
      <c r="G9" s="200"/>
      <c r="H9" s="200"/>
      <c r="I9" s="200"/>
      <c r="J9" s="200"/>
      <c r="K9" s="200"/>
      <c r="L9" s="200"/>
      <c r="M9" s="200"/>
      <c r="N9" s="200"/>
      <c r="O9" s="200"/>
      <c r="P9" s="200"/>
      <c r="Q9" s="200"/>
      <c r="R9" s="200"/>
      <c r="S9" s="200"/>
    </row>
    <row r="10" spans="1:19" ht="18" thickBot="1" x14ac:dyDescent="0.35">
      <c r="A10" s="745" t="s">
        <v>134</v>
      </c>
      <c r="B10" s="746"/>
      <c r="C10" s="747">
        <f>Input!C33</f>
        <v>2271.5</v>
      </c>
      <c r="D10" s="748"/>
      <c r="E10" s="204" t="s">
        <v>41</v>
      </c>
      <c r="F10" s="428"/>
      <c r="G10" s="200"/>
      <c r="H10" s="200"/>
      <c r="I10" s="200"/>
      <c r="J10" s="200"/>
      <c r="K10" s="200"/>
      <c r="L10" s="200"/>
      <c r="M10" s="200"/>
      <c r="N10" s="200"/>
      <c r="O10" s="200"/>
      <c r="P10" s="200"/>
      <c r="Q10" s="200"/>
      <c r="R10" s="200"/>
      <c r="S10" s="200"/>
    </row>
    <row r="11" spans="1:19" ht="18" thickBot="1" x14ac:dyDescent="0.35">
      <c r="A11" s="325"/>
      <c r="B11" s="177"/>
      <c r="C11" s="177"/>
      <c r="D11" s="177"/>
      <c r="E11" s="205"/>
      <c r="F11" s="281"/>
      <c r="G11" s="200"/>
      <c r="H11" s="200"/>
      <c r="I11" s="200"/>
      <c r="J11" s="200"/>
      <c r="K11" s="200"/>
      <c r="L11" s="200"/>
      <c r="M11" s="200"/>
      <c r="N11" s="200"/>
      <c r="O11" s="200"/>
      <c r="P11" s="200"/>
      <c r="Q11" s="200"/>
      <c r="R11" s="200"/>
      <c r="S11" s="200"/>
    </row>
    <row r="12" spans="1:19" ht="18" thickBot="1" x14ac:dyDescent="0.35">
      <c r="A12" s="745" t="s">
        <v>178</v>
      </c>
      <c r="B12" s="746"/>
      <c r="C12" s="747">
        <f>Input!C34</f>
        <v>44.35</v>
      </c>
      <c r="D12" s="748"/>
      <c r="E12" s="205" t="s">
        <v>47</v>
      </c>
      <c r="F12" s="428"/>
      <c r="G12" s="200"/>
      <c r="H12" s="200"/>
      <c r="I12" s="200"/>
      <c r="J12" s="200"/>
      <c r="K12" s="200"/>
      <c r="L12" s="200"/>
      <c r="M12" s="200"/>
      <c r="N12" s="200"/>
      <c r="O12" s="200"/>
      <c r="P12" s="200"/>
      <c r="Q12" s="200"/>
      <c r="R12" s="200"/>
      <c r="S12" s="200"/>
    </row>
    <row r="13" spans="1:19" ht="18" thickBot="1" x14ac:dyDescent="0.35">
      <c r="A13" s="325"/>
      <c r="B13" s="177"/>
      <c r="C13" s="177"/>
      <c r="D13" s="177"/>
      <c r="E13" s="177"/>
      <c r="F13" s="281"/>
      <c r="G13" s="200"/>
      <c r="H13" s="200"/>
      <c r="I13" s="200"/>
      <c r="J13" s="200"/>
      <c r="K13" s="200"/>
      <c r="L13" s="200"/>
      <c r="M13" s="200"/>
      <c r="N13" s="200"/>
      <c r="O13" s="200"/>
      <c r="P13" s="200"/>
      <c r="Q13" s="200"/>
      <c r="R13" s="200"/>
      <c r="S13" s="200"/>
    </row>
    <row r="14" spans="1:19" ht="18" thickBot="1" x14ac:dyDescent="0.35">
      <c r="A14" s="745" t="s">
        <v>34</v>
      </c>
      <c r="B14" s="746"/>
      <c r="C14" s="749">
        <f>Input!C35</f>
        <v>0.74219999999999997</v>
      </c>
      <c r="D14" s="750"/>
      <c r="E14" s="177"/>
      <c r="F14" s="281"/>
      <c r="G14" s="200"/>
      <c r="H14" s="200"/>
      <c r="I14" s="200"/>
      <c r="J14" s="200"/>
      <c r="K14" s="200"/>
      <c r="L14" s="200"/>
      <c r="M14" s="200"/>
      <c r="N14" s="200"/>
      <c r="O14" s="200"/>
      <c r="P14" s="200"/>
      <c r="Q14" s="200"/>
      <c r="R14" s="200"/>
      <c r="S14" s="200"/>
    </row>
    <row r="15" spans="1:19" ht="18" thickBot="1" x14ac:dyDescent="0.35">
      <c r="A15" s="429"/>
      <c r="B15" s="256"/>
      <c r="C15" s="430"/>
      <c r="D15" s="431"/>
      <c r="E15" s="177"/>
      <c r="F15" s="281"/>
      <c r="G15" s="200"/>
      <c r="H15" s="200"/>
      <c r="I15" s="200"/>
      <c r="J15" s="200"/>
      <c r="K15" s="200"/>
      <c r="L15" s="200"/>
      <c r="M15" s="200"/>
      <c r="N15" s="200"/>
      <c r="O15" s="200"/>
      <c r="P15" s="200"/>
      <c r="Q15" s="200"/>
      <c r="R15" s="200"/>
      <c r="S15" s="200"/>
    </row>
    <row r="16" spans="1:19" ht="18" thickBot="1" x14ac:dyDescent="0.35">
      <c r="A16" s="429"/>
      <c r="B16" s="256" t="s">
        <v>78</v>
      </c>
      <c r="C16" s="751">
        <f>Input!C36</f>
        <v>0.13930000000000001</v>
      </c>
      <c r="D16" s="752"/>
      <c r="E16" s="177"/>
      <c r="F16" s="281"/>
      <c r="G16" s="200"/>
      <c r="H16" s="200"/>
      <c r="I16" s="200"/>
      <c r="J16" s="200"/>
      <c r="K16" s="200"/>
      <c r="L16" s="200"/>
      <c r="M16" s="200"/>
      <c r="N16" s="200"/>
      <c r="O16" s="200"/>
      <c r="P16" s="200"/>
      <c r="Q16" s="200"/>
      <c r="R16" s="200"/>
      <c r="S16" s="200"/>
    </row>
    <row r="17" spans="1:22" ht="18" thickBot="1" x14ac:dyDescent="0.35">
      <c r="A17" s="327"/>
      <c r="B17" s="254"/>
      <c r="C17" s="432"/>
      <c r="D17" s="432"/>
      <c r="E17" s="254"/>
      <c r="F17" s="388"/>
      <c r="G17" s="200"/>
      <c r="H17" s="200" t="s">
        <v>149</v>
      </c>
      <c r="I17" s="200"/>
      <c r="J17" s="200"/>
      <c r="K17" s="200"/>
      <c r="L17" s="200"/>
      <c r="M17" s="258">
        <f>Input!C41</f>
        <v>0.99</v>
      </c>
      <c r="N17" s="200" t="s">
        <v>354</v>
      </c>
      <c r="O17" s="200"/>
      <c r="P17" s="200"/>
      <c r="Q17" s="200"/>
      <c r="R17" s="200"/>
      <c r="S17" s="200"/>
    </row>
    <row r="18" spans="1:22" ht="18.75" thickTop="1" thickBot="1" x14ac:dyDescent="0.35">
      <c r="A18" s="200"/>
      <c r="B18" s="200"/>
      <c r="C18" s="200"/>
      <c r="D18" s="200"/>
      <c r="E18" s="200"/>
      <c r="F18" s="200"/>
      <c r="G18" s="200"/>
      <c r="H18" s="200"/>
      <c r="I18" s="200"/>
      <c r="J18" s="200"/>
      <c r="K18" s="208"/>
      <c r="L18" s="208"/>
      <c r="M18" s="241">
        <f>M17</f>
        <v>0.99</v>
      </c>
      <c r="N18" s="209">
        <f>100%-M17</f>
        <v>1.0000000000000009E-2</v>
      </c>
      <c r="O18" s="200"/>
      <c r="P18" s="200"/>
      <c r="Q18" s="200"/>
      <c r="R18" s="200"/>
      <c r="S18" s="200"/>
    </row>
    <row r="19" spans="1:22" ht="18.75" thickTop="1" thickBot="1" x14ac:dyDescent="0.35">
      <c r="A19" s="389"/>
      <c r="B19" s="189"/>
      <c r="C19" s="189"/>
      <c r="D19" s="189"/>
      <c r="E19" s="189"/>
      <c r="F19" s="189"/>
      <c r="G19" s="189"/>
      <c r="H19" s="189"/>
      <c r="I19" s="189"/>
      <c r="J19" s="189"/>
      <c r="K19" s="233"/>
      <c r="L19" s="233"/>
      <c r="M19" s="189"/>
      <c r="N19" s="189"/>
      <c r="O19" s="189"/>
      <c r="P19" s="189"/>
      <c r="Q19" s="189"/>
      <c r="R19" s="189"/>
      <c r="S19" s="390"/>
    </row>
    <row r="20" spans="1:22" ht="18" thickBot="1" x14ac:dyDescent="0.35">
      <c r="A20" s="433" t="s">
        <v>45</v>
      </c>
      <c r="B20" s="434">
        <f>C8/24</f>
        <v>1925</v>
      </c>
      <c r="C20" s="210" t="s">
        <v>42</v>
      </c>
      <c r="D20" s="196" t="s">
        <v>2</v>
      </c>
      <c r="E20" s="242" t="s">
        <v>337</v>
      </c>
      <c r="F20" s="212"/>
      <c r="G20" s="196" t="s">
        <v>2</v>
      </c>
      <c r="H20" s="220">
        <f>C12</f>
        <v>44.35</v>
      </c>
      <c r="I20" s="210" t="s">
        <v>47</v>
      </c>
      <c r="J20" s="196" t="s">
        <v>2</v>
      </c>
      <c r="K20" s="221">
        <f>C14</f>
        <v>0.74219999999999997</v>
      </c>
      <c r="L20" s="436" t="s">
        <v>2</v>
      </c>
      <c r="M20" s="260">
        <f>1-Input!$C$41</f>
        <v>1.0000000000000009E-2</v>
      </c>
      <c r="N20" s="190" t="s">
        <v>217</v>
      </c>
      <c r="O20" s="738">
        <f>(B20*1/379*H20*K20)*N18</f>
        <v>1.6718838324538272</v>
      </c>
      <c r="P20" s="739"/>
      <c r="Q20" s="204" t="s">
        <v>1</v>
      </c>
      <c r="R20" s="243"/>
      <c r="S20" s="428"/>
      <c r="U20" s="23"/>
      <c r="V20" s="39"/>
    </row>
    <row r="21" spans="1:22" ht="17.25" x14ac:dyDescent="0.3">
      <c r="A21" s="433"/>
      <c r="B21" s="437"/>
      <c r="C21" s="196"/>
      <c r="D21" s="177"/>
      <c r="E21" s="177"/>
      <c r="F21" s="177"/>
      <c r="G21" s="177"/>
      <c r="H21" s="196"/>
      <c r="I21" s="177"/>
      <c r="J21" s="177"/>
      <c r="K21" s="177"/>
      <c r="L21" s="177"/>
      <c r="M21" s="177"/>
      <c r="N21" s="232"/>
      <c r="O21" s="177"/>
      <c r="P21" s="177"/>
      <c r="Q21" s="177"/>
      <c r="R21" s="243"/>
      <c r="S21" s="281"/>
      <c r="U21" s="23"/>
      <c r="V21" s="39"/>
    </row>
    <row r="22" spans="1:22" ht="18" thickBot="1" x14ac:dyDescent="0.35">
      <c r="A22" s="433"/>
      <c r="B22" s="437"/>
      <c r="C22" s="196"/>
      <c r="D22" s="177"/>
      <c r="E22" s="177"/>
      <c r="F22" s="177"/>
      <c r="G22" s="177"/>
      <c r="H22" s="196"/>
      <c r="I22" s="177"/>
      <c r="J22" s="177"/>
      <c r="K22" s="177"/>
      <c r="L22" s="177"/>
      <c r="M22" s="177"/>
      <c r="N22" s="257"/>
      <c r="O22" s="216"/>
      <c r="P22" s="216"/>
      <c r="Q22" s="216"/>
      <c r="R22" s="216"/>
      <c r="S22" s="281"/>
      <c r="T22" s="28"/>
      <c r="U22" s="23"/>
      <c r="V22" s="39"/>
    </row>
    <row r="23" spans="1:22" ht="18" thickBot="1" x14ac:dyDescent="0.35">
      <c r="A23" s="433"/>
      <c r="B23" s="231"/>
      <c r="C23" s="196"/>
      <c r="D23" s="177"/>
      <c r="E23" s="265">
        <f>O20</f>
        <v>1.6718838324538272</v>
      </c>
      <c r="F23" s="211" t="s">
        <v>1</v>
      </c>
      <c r="G23" s="435" t="s">
        <v>2</v>
      </c>
      <c r="H23" s="244" t="s">
        <v>50</v>
      </c>
      <c r="I23" s="196" t="s">
        <v>2</v>
      </c>
      <c r="J23" s="742" t="s">
        <v>49</v>
      </c>
      <c r="K23" s="744"/>
      <c r="L23" s="436"/>
      <c r="M23" s="438"/>
      <c r="N23" s="190" t="s">
        <v>217</v>
      </c>
      <c r="O23" s="738">
        <f>E23*8760*1/2000</f>
        <v>7.322851186147763</v>
      </c>
      <c r="P23" s="739"/>
      <c r="Q23" s="205" t="s">
        <v>19</v>
      </c>
      <c r="R23" s="204"/>
      <c r="S23" s="281"/>
    </row>
    <row r="24" spans="1:22" ht="18" thickBot="1" x14ac:dyDescent="0.35">
      <c r="A24" s="327"/>
      <c r="B24" s="254"/>
      <c r="C24" s="254"/>
      <c r="D24" s="254"/>
      <c r="E24" s="254"/>
      <c r="F24" s="254"/>
      <c r="G24" s="254"/>
      <c r="H24" s="254"/>
      <c r="I24" s="254"/>
      <c r="J24" s="254"/>
      <c r="K24" s="339"/>
      <c r="L24" s="339"/>
      <c r="M24" s="254"/>
      <c r="N24" s="441"/>
      <c r="O24" s="254"/>
      <c r="P24" s="254"/>
      <c r="Q24" s="254"/>
      <c r="R24" s="254"/>
      <c r="S24" s="388"/>
    </row>
    <row r="25" spans="1:22" ht="18.75" thickTop="1" thickBot="1" x14ac:dyDescent="0.35">
      <c r="A25" s="177"/>
      <c r="B25" s="177"/>
      <c r="C25" s="177"/>
      <c r="D25" s="177"/>
      <c r="E25" s="177"/>
      <c r="F25" s="177"/>
      <c r="G25" s="177"/>
      <c r="H25" s="177"/>
      <c r="I25" s="177"/>
      <c r="J25" s="177"/>
      <c r="K25" s="196"/>
      <c r="L25" s="196"/>
      <c r="M25" s="177"/>
      <c r="N25" s="218"/>
      <c r="O25" s="177"/>
      <c r="P25" s="177"/>
      <c r="Q25" s="177"/>
      <c r="R25" s="177"/>
      <c r="S25" s="177"/>
    </row>
    <row r="26" spans="1:22" ht="18.75" thickTop="1" thickBot="1" x14ac:dyDescent="0.35">
      <c r="A26" s="389"/>
      <c r="B26" s="189"/>
      <c r="C26" s="189"/>
      <c r="D26" s="189"/>
      <c r="E26" s="189"/>
      <c r="F26" s="189"/>
      <c r="G26" s="189"/>
      <c r="H26" s="189"/>
      <c r="I26" s="189"/>
      <c r="J26" s="189"/>
      <c r="K26" s="233"/>
      <c r="L26" s="233"/>
      <c r="M26" s="189"/>
      <c r="N26" s="442"/>
      <c r="O26" s="189"/>
      <c r="P26" s="189"/>
      <c r="Q26" s="189"/>
      <c r="R26" s="189"/>
      <c r="S26" s="390"/>
    </row>
    <row r="27" spans="1:22" ht="18" thickBot="1" x14ac:dyDescent="0.35">
      <c r="A27" s="433" t="s">
        <v>61</v>
      </c>
      <c r="B27" s="594">
        <f>B20</f>
        <v>1925</v>
      </c>
      <c r="C27" s="299" t="s">
        <v>42</v>
      </c>
      <c r="D27" s="436" t="s">
        <v>2</v>
      </c>
      <c r="E27" s="242" t="s">
        <v>337</v>
      </c>
      <c r="F27" s="212"/>
      <c r="G27" s="196" t="s">
        <v>2</v>
      </c>
      <c r="H27" s="220">
        <f>C12</f>
        <v>44.35</v>
      </c>
      <c r="I27" s="210" t="s">
        <v>47</v>
      </c>
      <c r="J27" s="196" t="s">
        <v>2</v>
      </c>
      <c r="K27" s="221">
        <f>C16</f>
        <v>0.13930000000000001</v>
      </c>
      <c r="L27" s="436" t="s">
        <v>2</v>
      </c>
      <c r="M27" s="260">
        <f>1-Input!$C$41</f>
        <v>1.0000000000000009E-2</v>
      </c>
      <c r="N27" s="190" t="s">
        <v>217</v>
      </c>
      <c r="O27" s="738">
        <f>(B27*1/379*H27*K27)*N18</f>
        <v>0.31378795184696601</v>
      </c>
      <c r="P27" s="739"/>
      <c r="Q27" s="245" t="s">
        <v>1</v>
      </c>
      <c r="R27" s="204"/>
      <c r="S27" s="281"/>
    </row>
    <row r="28" spans="1:22" ht="17.25" x14ac:dyDescent="0.3">
      <c r="A28" s="433"/>
      <c r="B28" s="437"/>
      <c r="C28" s="248"/>
      <c r="D28" s="177"/>
      <c r="E28" s="177"/>
      <c r="F28" s="177"/>
      <c r="G28" s="177"/>
      <c r="H28" s="248"/>
      <c r="I28" s="177"/>
      <c r="J28" s="177"/>
      <c r="K28" s="177"/>
      <c r="L28" s="177"/>
      <c r="M28" s="177"/>
      <c r="N28" s="232"/>
      <c r="O28" s="243"/>
      <c r="P28" s="177"/>
      <c r="Q28" s="177"/>
      <c r="R28" s="177"/>
      <c r="S28" s="281"/>
    </row>
    <row r="29" spans="1:22" ht="18" thickBot="1" x14ac:dyDescent="0.35">
      <c r="A29" s="433"/>
      <c r="B29" s="437"/>
      <c r="C29" s="196"/>
      <c r="D29" s="177"/>
      <c r="E29" s="177"/>
      <c r="F29" s="177"/>
      <c r="G29" s="177"/>
      <c r="H29" s="196"/>
      <c r="I29" s="177"/>
      <c r="J29" s="177"/>
      <c r="K29" s="177"/>
      <c r="L29" s="177"/>
      <c r="M29" s="177"/>
      <c r="N29" s="257"/>
      <c r="O29" s="216"/>
      <c r="P29" s="216"/>
      <c r="Q29" s="216"/>
      <c r="R29" s="216"/>
      <c r="S29" s="281"/>
    </row>
    <row r="30" spans="1:22" ht="18" thickBot="1" x14ac:dyDescent="0.35">
      <c r="A30" s="433"/>
      <c r="B30" s="231"/>
      <c r="C30" s="196"/>
      <c r="D30" s="177"/>
      <c r="E30" s="265">
        <f>O27</f>
        <v>0.31378795184696601</v>
      </c>
      <c r="F30" s="212" t="s">
        <v>1</v>
      </c>
      <c r="G30" s="436" t="s">
        <v>2</v>
      </c>
      <c r="H30" s="244" t="s">
        <v>50</v>
      </c>
      <c r="I30" s="196" t="s">
        <v>2</v>
      </c>
      <c r="J30" s="222" t="s">
        <v>49</v>
      </c>
      <c r="K30" s="212"/>
      <c r="L30" s="436"/>
      <c r="M30" s="438"/>
      <c r="N30" s="190" t="s">
        <v>217</v>
      </c>
      <c r="O30" s="738">
        <f>E30*8760*1/2000</f>
        <v>1.3743912290897111</v>
      </c>
      <c r="P30" s="739"/>
      <c r="Q30" s="216" t="s">
        <v>19</v>
      </c>
      <c r="R30" s="204"/>
      <c r="S30" s="281"/>
    </row>
    <row r="31" spans="1:22" ht="18" thickBot="1" x14ac:dyDescent="0.35">
      <c r="A31" s="327"/>
      <c r="B31" s="254"/>
      <c r="C31" s="254"/>
      <c r="D31" s="254"/>
      <c r="E31" s="254"/>
      <c r="F31" s="440"/>
      <c r="G31" s="254"/>
      <c r="H31" s="254"/>
      <c r="I31" s="254"/>
      <c r="J31" s="254"/>
      <c r="K31" s="339"/>
      <c r="L31" s="339"/>
      <c r="M31" s="254"/>
      <c r="N31" s="441"/>
      <c r="O31" s="254"/>
      <c r="P31" s="254"/>
      <c r="Q31" s="254"/>
      <c r="R31" s="254"/>
      <c r="S31" s="388"/>
    </row>
    <row r="32" spans="1:22" ht="18.75" thickTop="1" thickBot="1" x14ac:dyDescent="0.35">
      <c r="A32" s="177"/>
      <c r="B32" s="177"/>
      <c r="C32" s="177"/>
      <c r="D32" s="177"/>
      <c r="E32" s="177"/>
      <c r="F32" s="177"/>
      <c r="G32" s="177"/>
      <c r="H32" s="177"/>
      <c r="I32" s="177"/>
      <c r="J32" s="177"/>
      <c r="K32" s="196"/>
      <c r="L32" s="196"/>
      <c r="M32" s="177"/>
      <c r="N32" s="218"/>
      <c r="O32" s="177"/>
      <c r="P32" s="177"/>
      <c r="Q32" s="177"/>
      <c r="R32" s="177"/>
      <c r="S32" s="177"/>
    </row>
    <row r="33" spans="1:21" ht="18.75" thickTop="1" thickBot="1" x14ac:dyDescent="0.35">
      <c r="A33" s="389"/>
      <c r="B33" s="189"/>
      <c r="C33" s="189"/>
      <c r="D33" s="189"/>
      <c r="E33" s="189"/>
      <c r="F33" s="189"/>
      <c r="G33" s="189"/>
      <c r="H33" s="189"/>
      <c r="I33" s="189"/>
      <c r="J33" s="189"/>
      <c r="K33" s="233"/>
      <c r="L33" s="233"/>
      <c r="M33" s="189"/>
      <c r="N33" s="442"/>
      <c r="O33" s="189"/>
      <c r="P33" s="189"/>
      <c r="Q33" s="189"/>
      <c r="R33" s="189"/>
      <c r="S33" s="390"/>
    </row>
    <row r="34" spans="1:21" ht="18" thickBot="1" x14ac:dyDescent="0.35">
      <c r="A34" s="433" t="s">
        <v>351</v>
      </c>
      <c r="B34" s="594">
        <f>B20</f>
        <v>1925</v>
      </c>
      <c r="C34" s="299" t="s">
        <v>42</v>
      </c>
      <c r="D34" s="436" t="s">
        <v>2</v>
      </c>
      <c r="E34" s="242" t="s">
        <v>337</v>
      </c>
      <c r="F34" s="212"/>
      <c r="G34" s="196" t="s">
        <v>2</v>
      </c>
      <c r="H34" s="220">
        <v>34.08</v>
      </c>
      <c r="I34" s="210" t="s">
        <v>47</v>
      </c>
      <c r="J34" s="196" t="s">
        <v>2</v>
      </c>
      <c r="K34" s="221">
        <f>Input!C37</f>
        <v>0</v>
      </c>
      <c r="L34" s="436" t="s">
        <v>2</v>
      </c>
      <c r="M34" s="260">
        <f>1-Input!$C$41</f>
        <v>1.0000000000000009E-2</v>
      </c>
      <c r="N34" s="190" t="s">
        <v>217</v>
      </c>
      <c r="O34" s="763">
        <f>(B34*1/379*H34*K34)*N18</f>
        <v>0</v>
      </c>
      <c r="P34" s="764"/>
      <c r="Q34" s="227" t="s">
        <v>1</v>
      </c>
      <c r="R34" s="204"/>
      <c r="S34" s="281"/>
    </row>
    <row r="35" spans="1:21" ht="17.25" x14ac:dyDescent="0.3">
      <c r="A35" s="433"/>
      <c r="B35" s="437"/>
      <c r="C35" s="248"/>
      <c r="D35" s="177"/>
      <c r="E35" s="177"/>
      <c r="F35" s="177"/>
      <c r="G35" s="177"/>
      <c r="H35" s="248"/>
      <c r="I35" s="177"/>
      <c r="J35" s="177"/>
      <c r="K35" s="177"/>
      <c r="L35" s="177"/>
      <c r="M35" s="177"/>
      <c r="N35" s="232"/>
      <c r="O35" s="227"/>
      <c r="P35" s="243"/>
      <c r="Q35" s="243"/>
      <c r="R35" s="243"/>
      <c r="S35" s="281"/>
    </row>
    <row r="36" spans="1:21" ht="18" thickBot="1" x14ac:dyDescent="0.35">
      <c r="A36" s="433"/>
      <c r="B36" s="437"/>
      <c r="C36" s="196"/>
      <c r="D36" s="177"/>
      <c r="E36" s="177"/>
      <c r="F36" s="177"/>
      <c r="G36" s="177"/>
      <c r="H36" s="196"/>
      <c r="I36" s="177"/>
      <c r="J36" s="177"/>
      <c r="K36" s="177"/>
      <c r="L36" s="177"/>
      <c r="M36" s="177"/>
      <c r="N36" s="257"/>
      <c r="O36" s="216"/>
      <c r="P36" s="216"/>
      <c r="Q36" s="216"/>
      <c r="R36" s="216"/>
      <c r="S36" s="281"/>
    </row>
    <row r="37" spans="1:21" ht="18" thickBot="1" x14ac:dyDescent="0.35">
      <c r="A37" s="433"/>
      <c r="B37" s="231"/>
      <c r="C37" s="196"/>
      <c r="D37" s="177"/>
      <c r="E37" s="265">
        <f>O34</f>
        <v>0</v>
      </c>
      <c r="F37" s="246" t="s">
        <v>1</v>
      </c>
      <c r="G37" s="196" t="s">
        <v>2</v>
      </c>
      <c r="H37" s="244" t="s">
        <v>50</v>
      </c>
      <c r="I37" s="196" t="s">
        <v>2</v>
      </c>
      <c r="J37" s="222" t="s">
        <v>49</v>
      </c>
      <c r="K37" s="212"/>
      <c r="L37" s="436"/>
      <c r="M37" s="438"/>
      <c r="N37" s="190" t="s">
        <v>217</v>
      </c>
      <c r="O37" s="738">
        <f>E37*8760*1/2000</f>
        <v>0</v>
      </c>
      <c r="P37" s="739"/>
      <c r="Q37" s="205" t="s">
        <v>19</v>
      </c>
      <c r="R37" s="204"/>
      <c r="S37" s="281"/>
    </row>
    <row r="38" spans="1:21" ht="18" thickBot="1" x14ac:dyDescent="0.35">
      <c r="A38" s="327"/>
      <c r="B38" s="254"/>
      <c r="C38" s="254"/>
      <c r="D38" s="254"/>
      <c r="E38" s="254"/>
      <c r="F38" s="440"/>
      <c r="G38" s="254"/>
      <c r="H38" s="254"/>
      <c r="I38" s="254"/>
      <c r="J38" s="254"/>
      <c r="K38" s="339"/>
      <c r="L38" s="339"/>
      <c r="M38" s="254"/>
      <c r="N38" s="441"/>
      <c r="O38" s="254"/>
      <c r="P38" s="254"/>
      <c r="Q38" s="254"/>
      <c r="R38" s="254"/>
      <c r="S38" s="388"/>
    </row>
    <row r="39" spans="1:21" ht="18.75" thickTop="1" thickBot="1" x14ac:dyDescent="0.35">
      <c r="A39" s="177"/>
      <c r="B39" s="177"/>
      <c r="C39" s="177"/>
      <c r="D39" s="177"/>
      <c r="E39" s="177"/>
      <c r="F39" s="177"/>
      <c r="G39" s="177"/>
      <c r="H39" s="177"/>
      <c r="I39" s="177"/>
      <c r="J39" s="177"/>
      <c r="K39" s="196"/>
      <c r="L39" s="196"/>
      <c r="M39" s="177"/>
      <c r="N39" s="218"/>
      <c r="O39" s="177"/>
      <c r="P39" s="177"/>
      <c r="Q39" s="177"/>
      <c r="R39" s="177"/>
      <c r="S39" s="177"/>
    </row>
    <row r="40" spans="1:21" ht="18.75" thickTop="1" thickBot="1" x14ac:dyDescent="0.35">
      <c r="A40" s="389"/>
      <c r="B40" s="189"/>
      <c r="C40" s="189"/>
      <c r="D40" s="189"/>
      <c r="E40" s="189"/>
      <c r="F40" s="189"/>
      <c r="G40" s="189"/>
      <c r="H40" s="189"/>
      <c r="I40" s="189"/>
      <c r="J40" s="189"/>
      <c r="K40" s="233"/>
      <c r="L40" s="233"/>
      <c r="M40" s="189"/>
      <c r="N40" s="442"/>
      <c r="O40" s="189"/>
      <c r="P40" s="189"/>
      <c r="Q40" s="189"/>
      <c r="R40" s="189"/>
      <c r="S40" s="390"/>
    </row>
    <row r="41" spans="1:21" ht="18" thickBot="1" x14ac:dyDescent="0.35">
      <c r="A41" s="433" t="s">
        <v>352</v>
      </c>
      <c r="B41" s="434">
        <f>B20</f>
        <v>1925</v>
      </c>
      <c r="C41" s="247" t="s">
        <v>42</v>
      </c>
      <c r="D41" s="436" t="s">
        <v>2</v>
      </c>
      <c r="E41" s="242" t="s">
        <v>337</v>
      </c>
      <c r="F41" s="212"/>
      <c r="G41" s="196" t="s">
        <v>2</v>
      </c>
      <c r="H41" s="220">
        <v>64</v>
      </c>
      <c r="I41" s="210" t="s">
        <v>47</v>
      </c>
      <c r="J41" s="435" t="s">
        <v>2</v>
      </c>
      <c r="K41" s="221">
        <f>Input!C38</f>
        <v>0</v>
      </c>
      <c r="L41" s="436" t="s">
        <v>2</v>
      </c>
      <c r="M41" s="260">
        <f>1-Input!$C$41</f>
        <v>1.0000000000000009E-2</v>
      </c>
      <c r="N41" s="190" t="s">
        <v>217</v>
      </c>
      <c r="O41" s="738">
        <f>(B41*1/379*H41*K41)*N18</f>
        <v>0</v>
      </c>
      <c r="P41" s="739"/>
      <c r="Q41" s="245" t="s">
        <v>1</v>
      </c>
      <c r="R41" s="204"/>
      <c r="S41" s="281"/>
    </row>
    <row r="42" spans="1:21" ht="17.25" x14ac:dyDescent="0.3">
      <c r="A42" s="433"/>
      <c r="B42" s="437"/>
      <c r="C42" s="196"/>
      <c r="D42" s="177"/>
      <c r="E42" s="177"/>
      <c r="F42" s="177"/>
      <c r="G42" s="177"/>
      <c r="H42" s="196"/>
      <c r="I42" s="177"/>
      <c r="J42" s="177"/>
      <c r="K42" s="177"/>
      <c r="L42" s="177"/>
      <c r="M42" s="177"/>
      <c r="N42" s="232"/>
      <c r="O42" s="177"/>
      <c r="P42" s="177"/>
      <c r="Q42" s="177"/>
      <c r="R42" s="243"/>
      <c r="S42" s="281"/>
    </row>
    <row r="43" spans="1:21" ht="18" thickBot="1" x14ac:dyDescent="0.35">
      <c r="A43" s="433"/>
      <c r="B43" s="437"/>
      <c r="C43" s="196"/>
      <c r="D43" s="177"/>
      <c r="E43" s="177"/>
      <c r="F43" s="177"/>
      <c r="G43" s="177"/>
      <c r="H43" s="196"/>
      <c r="I43" s="177"/>
      <c r="J43" s="177"/>
      <c r="K43" s="177"/>
      <c r="L43" s="177"/>
      <c r="M43" s="177"/>
      <c r="N43" s="257"/>
      <c r="O43" s="216"/>
      <c r="P43" s="216"/>
      <c r="Q43" s="216"/>
      <c r="R43" s="216"/>
      <c r="S43" s="281"/>
    </row>
    <row r="44" spans="1:21" ht="18" thickBot="1" x14ac:dyDescent="0.35">
      <c r="A44" s="433"/>
      <c r="B44" s="231"/>
      <c r="C44" s="196"/>
      <c r="D44" s="177"/>
      <c r="E44" s="265">
        <f>O41</f>
        <v>0</v>
      </c>
      <c r="F44" s="212" t="s">
        <v>1</v>
      </c>
      <c r="G44" s="435" t="s">
        <v>2</v>
      </c>
      <c r="H44" s="244" t="s">
        <v>50</v>
      </c>
      <c r="I44" s="196" t="s">
        <v>2</v>
      </c>
      <c r="J44" s="222" t="s">
        <v>49</v>
      </c>
      <c r="K44" s="212"/>
      <c r="L44" s="436"/>
      <c r="M44" s="438"/>
      <c r="N44" s="190" t="s">
        <v>217</v>
      </c>
      <c r="O44" s="738">
        <f>E44*8760*1/2000</f>
        <v>0</v>
      </c>
      <c r="P44" s="739"/>
      <c r="Q44" s="216" t="s">
        <v>19</v>
      </c>
      <c r="R44" s="216"/>
      <c r="S44" s="428"/>
      <c r="U44" s="23"/>
    </row>
    <row r="45" spans="1:21" ht="18" thickBot="1" x14ac:dyDescent="0.35">
      <c r="A45" s="327"/>
      <c r="B45" s="254"/>
      <c r="C45" s="254"/>
      <c r="D45" s="254"/>
      <c r="E45" s="254"/>
      <c r="F45" s="254"/>
      <c r="G45" s="254"/>
      <c r="H45" s="254"/>
      <c r="I45" s="254"/>
      <c r="J45" s="254"/>
      <c r="K45" s="339"/>
      <c r="L45" s="339"/>
      <c r="M45" s="254"/>
      <c r="N45" s="441"/>
      <c r="O45" s="254"/>
      <c r="P45" s="254"/>
      <c r="Q45" s="254"/>
      <c r="R45" s="254"/>
      <c r="S45" s="388"/>
    </row>
    <row r="46" spans="1:21" ht="18.75" thickTop="1" thickBot="1" x14ac:dyDescent="0.35">
      <c r="A46" s="200"/>
      <c r="B46" s="200"/>
      <c r="C46" s="200"/>
      <c r="D46" s="200"/>
      <c r="E46" s="200"/>
      <c r="F46" s="200"/>
      <c r="G46" s="200"/>
      <c r="H46" s="200"/>
      <c r="I46" s="200"/>
      <c r="J46" s="200"/>
      <c r="K46" s="208"/>
      <c r="L46" s="208"/>
      <c r="M46" s="200"/>
      <c r="N46" s="223"/>
      <c r="O46" s="200"/>
      <c r="P46" s="200"/>
      <c r="Q46" s="200"/>
      <c r="R46" s="200"/>
      <c r="S46" s="200"/>
      <c r="U46" s="23"/>
    </row>
    <row r="47" spans="1:21" ht="18.75" thickTop="1" thickBot="1" x14ac:dyDescent="0.35">
      <c r="A47" s="389"/>
      <c r="B47" s="189"/>
      <c r="C47" s="189"/>
      <c r="D47" s="189"/>
      <c r="E47" s="189"/>
      <c r="F47" s="189"/>
      <c r="G47" s="189"/>
      <c r="H47" s="189"/>
      <c r="I47" s="189"/>
      <c r="J47" s="189"/>
      <c r="K47" s="233"/>
      <c r="L47" s="233"/>
      <c r="M47" s="189"/>
      <c r="N47" s="442"/>
      <c r="O47" s="189"/>
      <c r="P47" s="189"/>
      <c r="Q47" s="189"/>
      <c r="R47" s="189"/>
      <c r="S47" s="390"/>
      <c r="U47" s="23"/>
    </row>
    <row r="48" spans="1:21" ht="18" thickBot="1" x14ac:dyDescent="0.35">
      <c r="A48" s="433" t="s">
        <v>52</v>
      </c>
      <c r="B48" s="434">
        <f>B20</f>
        <v>1925</v>
      </c>
      <c r="C48" s="248" t="s">
        <v>42</v>
      </c>
      <c r="D48" s="435" t="s">
        <v>2</v>
      </c>
      <c r="E48" s="434">
        <f>C10</f>
        <v>2271.5</v>
      </c>
      <c r="F48" s="249" t="s">
        <v>41</v>
      </c>
      <c r="G48" s="436" t="s">
        <v>2</v>
      </c>
      <c r="H48" s="742" t="s">
        <v>43</v>
      </c>
      <c r="I48" s="743"/>
      <c r="J48" s="436" t="s">
        <v>2</v>
      </c>
      <c r="K48" s="224">
        <v>6.8000000000000005E-2</v>
      </c>
      <c r="L48" s="225" t="s">
        <v>57</v>
      </c>
      <c r="M48" s="196" t="s">
        <v>0</v>
      </c>
      <c r="N48" s="275">
        <f>B48*E48*1/1000000*K48</f>
        <v>0.29733935</v>
      </c>
      <c r="O48" s="204" t="s">
        <v>1</v>
      </c>
      <c r="P48" s="207"/>
      <c r="Q48" s="177"/>
      <c r="R48" s="177"/>
      <c r="S48" s="281"/>
      <c r="U48" s="23"/>
    </row>
    <row r="49" spans="1:23" ht="17.25" x14ac:dyDescent="0.3">
      <c r="A49" s="433"/>
      <c r="B49" s="437"/>
      <c r="C49" s="248"/>
      <c r="D49" s="177"/>
      <c r="E49" s="177"/>
      <c r="F49" s="273"/>
      <c r="G49" s="177"/>
      <c r="H49" s="196"/>
      <c r="I49" s="177"/>
      <c r="J49" s="177"/>
      <c r="K49" s="177"/>
      <c r="L49" s="177"/>
      <c r="M49" s="177"/>
      <c r="N49" s="158"/>
      <c r="O49" s="227"/>
      <c r="P49" s="177"/>
      <c r="Q49" s="177"/>
      <c r="R49" s="177"/>
      <c r="S49" s="281"/>
      <c r="U49" s="23"/>
    </row>
    <row r="50" spans="1:23" ht="18" thickBot="1" x14ac:dyDescent="0.35">
      <c r="A50" s="433"/>
      <c r="B50" s="437"/>
      <c r="C50" s="196"/>
      <c r="D50" s="177"/>
      <c r="E50" s="177"/>
      <c r="F50" s="177"/>
      <c r="G50" s="177"/>
      <c r="H50" s="196"/>
      <c r="I50" s="177"/>
      <c r="J50" s="177"/>
      <c r="K50" s="177"/>
      <c r="L50" s="177"/>
      <c r="M50" s="177"/>
      <c r="N50" s="257"/>
      <c r="O50" s="177"/>
      <c r="P50" s="177"/>
      <c r="Q50" s="177"/>
      <c r="R50" s="177"/>
      <c r="S50" s="281"/>
      <c r="U50" s="23"/>
    </row>
    <row r="51" spans="1:23" ht="18" thickBot="1" x14ac:dyDescent="0.35">
      <c r="A51" s="433"/>
      <c r="B51" s="231"/>
      <c r="C51" s="196"/>
      <c r="D51" s="177"/>
      <c r="E51" s="450">
        <f>N48</f>
        <v>0.29733935</v>
      </c>
      <c r="F51" s="228" t="s">
        <v>1</v>
      </c>
      <c r="G51" s="196" t="s">
        <v>2</v>
      </c>
      <c r="H51" s="244" t="s">
        <v>50</v>
      </c>
      <c r="I51" s="196" t="s">
        <v>2</v>
      </c>
      <c r="J51" s="742" t="s">
        <v>49</v>
      </c>
      <c r="K51" s="744"/>
      <c r="L51" s="759" t="s">
        <v>0</v>
      </c>
      <c r="M51" s="760"/>
      <c r="N51" s="275">
        <f>E51*8760*1/2000</f>
        <v>1.3023463529999999</v>
      </c>
      <c r="O51" s="451"/>
      <c r="P51" s="177"/>
      <c r="Q51" s="177"/>
      <c r="R51" s="177"/>
      <c r="S51" s="281"/>
      <c r="T51" s="28"/>
      <c r="U51" s="23"/>
    </row>
    <row r="52" spans="1:23" ht="18" thickBot="1" x14ac:dyDescent="0.35">
      <c r="A52" s="444"/>
      <c r="B52" s="445"/>
      <c r="C52" s="339"/>
      <c r="D52" s="254"/>
      <c r="E52" s="446"/>
      <c r="F52" s="254"/>
      <c r="G52" s="254"/>
      <c r="H52" s="339"/>
      <c r="I52" s="339"/>
      <c r="J52" s="254"/>
      <c r="K52" s="254"/>
      <c r="L52" s="254"/>
      <c r="M52" s="452"/>
      <c r="N52" s="250">
        <f>IF(M18=100%,(0),(N51))</f>
        <v>1.3023463529999999</v>
      </c>
      <c r="O52" s="251" t="s">
        <v>19</v>
      </c>
      <c r="P52" s="254"/>
      <c r="Q52" s="254"/>
      <c r="R52" s="254"/>
      <c r="S52" s="388"/>
      <c r="U52" s="23"/>
    </row>
    <row r="53" spans="1:23" ht="18.75" thickTop="1" thickBot="1" x14ac:dyDescent="0.35">
      <c r="A53" s="200"/>
      <c r="B53" s="200"/>
      <c r="C53" s="200"/>
      <c r="D53" s="200"/>
      <c r="E53" s="200"/>
      <c r="F53" s="200"/>
      <c r="G53" s="200"/>
      <c r="H53" s="200"/>
      <c r="I53" s="200"/>
      <c r="J53" s="200"/>
      <c r="K53" s="208"/>
      <c r="L53" s="208"/>
      <c r="M53" s="200"/>
      <c r="N53" s="252"/>
      <c r="O53" s="200"/>
      <c r="P53" s="200"/>
      <c r="Q53" s="200"/>
      <c r="R53" s="200"/>
      <c r="S53" s="200"/>
      <c r="U53" s="23"/>
    </row>
    <row r="54" spans="1:23" ht="18.75" thickTop="1" thickBot="1" x14ac:dyDescent="0.35">
      <c r="A54" s="389"/>
      <c r="B54" s="189"/>
      <c r="C54" s="189"/>
      <c r="D54" s="189"/>
      <c r="E54" s="189"/>
      <c r="F54" s="189"/>
      <c r="G54" s="189"/>
      <c r="H54" s="189"/>
      <c r="I54" s="189"/>
      <c r="J54" s="189"/>
      <c r="K54" s="233"/>
      <c r="L54" s="233"/>
      <c r="M54" s="189"/>
      <c r="N54" s="442"/>
      <c r="O54" s="189"/>
      <c r="P54" s="189"/>
      <c r="Q54" s="189"/>
      <c r="R54" s="189"/>
      <c r="S54" s="390"/>
      <c r="U54" s="26"/>
    </row>
    <row r="55" spans="1:23" ht="18" thickBot="1" x14ac:dyDescent="0.35">
      <c r="A55" s="433" t="s">
        <v>38</v>
      </c>
      <c r="B55" s="434">
        <f>B20</f>
        <v>1925</v>
      </c>
      <c r="C55" s="219" t="s">
        <v>42</v>
      </c>
      <c r="D55" s="196" t="s">
        <v>2</v>
      </c>
      <c r="E55" s="434">
        <f>C10</f>
        <v>2271.5</v>
      </c>
      <c r="F55" s="219" t="s">
        <v>41</v>
      </c>
      <c r="G55" s="196" t="s">
        <v>2</v>
      </c>
      <c r="H55" s="742" t="s">
        <v>43</v>
      </c>
      <c r="I55" s="744"/>
      <c r="J55" s="196" t="s">
        <v>2</v>
      </c>
      <c r="K55" s="224">
        <f>IF(Input!B40="Steffes SHP-6",0.015,IF(Input!B40="Steffes SHC-6",0.015,IF(Input!B40="Steffes SVG-3B4",0.03,0.31)))</f>
        <v>1.4999999999999999E-2</v>
      </c>
      <c r="L55" s="225" t="s">
        <v>57</v>
      </c>
      <c r="M55" s="196" t="s">
        <v>0</v>
      </c>
      <c r="N55" s="275">
        <f>B55*E55*1/1000000*K55</f>
        <v>6.558956249999999E-2</v>
      </c>
      <c r="O55" s="204" t="s">
        <v>1</v>
      </c>
      <c r="P55" s="207"/>
      <c r="Q55" s="177"/>
      <c r="R55" s="177"/>
      <c r="S55" s="281"/>
    </row>
    <row r="56" spans="1:23" ht="17.25" x14ac:dyDescent="0.3">
      <c r="A56" s="433"/>
      <c r="B56" s="437"/>
      <c r="C56" s="196"/>
      <c r="D56" s="177"/>
      <c r="E56" s="177"/>
      <c r="F56" s="177"/>
      <c r="G56" s="177"/>
      <c r="H56" s="196"/>
      <c r="I56" s="177"/>
      <c r="J56" s="177"/>
      <c r="K56" s="177"/>
      <c r="L56" s="177"/>
      <c r="M56" s="177"/>
      <c r="N56" s="232"/>
      <c r="O56" s="227"/>
      <c r="P56" s="177"/>
      <c r="Q56" s="177"/>
      <c r="R56" s="177"/>
      <c r="S56" s="281"/>
      <c r="U56" s="23"/>
    </row>
    <row r="57" spans="1:23" ht="18" thickBot="1" x14ac:dyDescent="0.35">
      <c r="A57" s="433"/>
      <c r="B57" s="437"/>
      <c r="C57" s="196"/>
      <c r="D57" s="177"/>
      <c r="E57" s="177"/>
      <c r="F57" s="177"/>
      <c r="G57" s="177"/>
      <c r="H57" s="196"/>
      <c r="I57" s="177"/>
      <c r="J57" s="177"/>
      <c r="K57" s="177"/>
      <c r="L57" s="177"/>
      <c r="M57" s="177"/>
      <c r="N57" s="257"/>
      <c r="O57" s="177"/>
      <c r="P57" s="177"/>
      <c r="Q57" s="177"/>
      <c r="R57" s="177"/>
      <c r="S57" s="281"/>
      <c r="U57" s="23"/>
      <c r="V57" s="23"/>
    </row>
    <row r="58" spans="1:23" ht="18" thickBot="1" x14ac:dyDescent="0.35">
      <c r="A58" s="433"/>
      <c r="B58" s="231"/>
      <c r="C58" s="196"/>
      <c r="D58" s="177"/>
      <c r="E58" s="450">
        <f>N55</f>
        <v>6.558956249999999E-2</v>
      </c>
      <c r="F58" s="228" t="s">
        <v>1</v>
      </c>
      <c r="G58" s="196" t="s">
        <v>2</v>
      </c>
      <c r="H58" s="244" t="s">
        <v>50</v>
      </c>
      <c r="I58" s="196" t="s">
        <v>2</v>
      </c>
      <c r="J58" s="742" t="s">
        <v>49</v>
      </c>
      <c r="K58" s="744"/>
      <c r="L58" s="759" t="s">
        <v>0</v>
      </c>
      <c r="M58" s="760"/>
      <c r="N58" s="453">
        <f>E58*8760*1/2000</f>
        <v>0.28728228374999998</v>
      </c>
      <c r="O58" s="216"/>
      <c r="P58" s="177"/>
      <c r="Q58" s="177"/>
      <c r="R58" s="177"/>
      <c r="S58" s="281"/>
      <c r="T58" s="28"/>
      <c r="U58" s="23"/>
    </row>
    <row r="59" spans="1:23" ht="18" thickBot="1" x14ac:dyDescent="0.35">
      <c r="A59" s="444"/>
      <c r="B59" s="445"/>
      <c r="C59" s="339"/>
      <c r="D59" s="254"/>
      <c r="E59" s="446"/>
      <c r="F59" s="254"/>
      <c r="G59" s="254"/>
      <c r="H59" s="339"/>
      <c r="I59" s="339"/>
      <c r="J59" s="254"/>
      <c r="K59" s="254"/>
      <c r="L59" s="254"/>
      <c r="M59" s="339"/>
      <c r="N59" s="253">
        <f>IF(M18=100%,(0),(N58))</f>
        <v>0.28728228374999998</v>
      </c>
      <c r="O59" s="254" t="s">
        <v>19</v>
      </c>
      <c r="P59" s="454"/>
      <c r="Q59" s="254"/>
      <c r="R59" s="254"/>
      <c r="S59" s="388"/>
    </row>
    <row r="60" spans="1:23" ht="18" thickTop="1" x14ac:dyDescent="0.3">
      <c r="A60" s="230"/>
      <c r="B60" s="231"/>
      <c r="C60" s="196"/>
      <c r="D60" s="177"/>
      <c r="E60" s="232"/>
      <c r="F60" s="177"/>
      <c r="G60" s="177"/>
      <c r="H60" s="196"/>
      <c r="I60" s="196"/>
      <c r="J60" s="177"/>
      <c r="K60" s="177"/>
      <c r="L60" s="177"/>
      <c r="M60" s="196"/>
      <c r="N60" s="255"/>
      <c r="O60" s="177"/>
      <c r="P60" s="177"/>
      <c r="Q60" s="177"/>
      <c r="R60" s="177"/>
      <c r="S60" s="177"/>
    </row>
    <row r="61" spans="1:23" ht="17.25" x14ac:dyDescent="0.3">
      <c r="A61" s="758" t="s">
        <v>355</v>
      </c>
      <c r="B61" s="758"/>
      <c r="C61" s="758"/>
      <c r="D61" s="758"/>
      <c r="E61" s="758"/>
      <c r="F61" s="758"/>
      <c r="G61" s="758"/>
      <c r="H61" s="758"/>
      <c r="I61" s="758"/>
      <c r="J61" s="758"/>
      <c r="K61" s="758"/>
      <c r="L61" s="758"/>
      <c r="M61" s="758"/>
      <c r="N61" s="758"/>
      <c r="O61" s="758"/>
      <c r="P61" s="758"/>
      <c r="Q61" s="758"/>
      <c r="R61" s="758"/>
      <c r="S61" s="758"/>
      <c r="U61" s="23"/>
      <c r="W61" s="23"/>
    </row>
    <row r="62" spans="1:23" x14ac:dyDescent="0.2">
      <c r="A62" s="61"/>
      <c r="B62" s="61"/>
      <c r="C62" s="61"/>
      <c r="D62" s="61"/>
      <c r="E62" s="61"/>
      <c r="F62" s="61"/>
      <c r="G62" s="61"/>
      <c r="H62" s="61"/>
      <c r="I62" s="58"/>
      <c r="J62" s="58"/>
      <c r="K62" s="82"/>
      <c r="L62" s="82"/>
      <c r="M62" s="82"/>
      <c r="N62" s="84"/>
      <c r="O62" s="58"/>
      <c r="P62" s="58"/>
      <c r="Q62" s="58"/>
      <c r="R62" s="58"/>
      <c r="S62" s="58"/>
    </row>
    <row r="63" spans="1:23" x14ac:dyDescent="0.2">
      <c r="A63" s="61"/>
      <c r="B63" s="61"/>
      <c r="C63" s="61"/>
      <c r="D63" s="61"/>
      <c r="E63" s="61"/>
      <c r="F63" s="61"/>
      <c r="G63" s="61"/>
      <c r="H63" s="61"/>
      <c r="I63" s="58"/>
      <c r="J63" s="58"/>
      <c r="K63" s="83"/>
      <c r="L63" s="81"/>
      <c r="M63" s="81"/>
      <c r="N63" s="87"/>
      <c r="O63" s="63"/>
      <c r="P63" s="63"/>
      <c r="Q63" s="58"/>
      <c r="R63" s="58"/>
      <c r="S63" s="58"/>
    </row>
    <row r="64" spans="1:23" x14ac:dyDescent="0.2">
      <c r="A64" s="61"/>
      <c r="B64" s="61"/>
      <c r="C64" s="61"/>
      <c r="D64" s="61"/>
      <c r="E64" s="61"/>
      <c r="F64" s="61"/>
      <c r="G64" s="61"/>
      <c r="H64" s="61"/>
      <c r="I64" s="58"/>
      <c r="J64" s="58"/>
      <c r="K64" s="82"/>
      <c r="L64" s="82"/>
      <c r="M64" s="82"/>
      <c r="N64" s="84"/>
      <c r="O64" s="58"/>
      <c r="P64" s="58"/>
      <c r="Q64" s="58"/>
      <c r="R64" s="58"/>
      <c r="S64" s="58"/>
    </row>
    <row r="65" spans="1:22" x14ac:dyDescent="0.2">
      <c r="A65" s="61"/>
      <c r="B65" s="61"/>
      <c r="C65" s="61"/>
      <c r="D65" s="61"/>
      <c r="E65" s="61"/>
      <c r="F65" s="61"/>
      <c r="G65" s="61"/>
      <c r="H65" s="61"/>
      <c r="I65" s="58"/>
      <c r="J65" s="58"/>
      <c r="K65" s="83"/>
      <c r="L65" s="81"/>
      <c r="M65" s="81"/>
      <c r="N65" s="87"/>
      <c r="O65" s="63"/>
      <c r="P65" s="63"/>
      <c r="Q65" s="58"/>
      <c r="R65" s="58"/>
      <c r="S65" s="58"/>
    </row>
    <row r="66" spans="1:22" x14ac:dyDescent="0.2">
      <c r="A66" s="61"/>
      <c r="B66" s="61"/>
      <c r="C66" s="61"/>
      <c r="D66" s="61"/>
      <c r="E66" s="61"/>
      <c r="F66" s="61"/>
      <c r="G66" s="61"/>
      <c r="H66" s="61"/>
      <c r="I66" s="58"/>
      <c r="J66" s="58"/>
      <c r="K66" s="64"/>
      <c r="L66" s="64"/>
      <c r="M66" s="64"/>
      <c r="N66" s="87"/>
      <c r="O66" s="63"/>
      <c r="P66" s="63"/>
      <c r="Q66" s="58"/>
      <c r="R66" s="58"/>
      <c r="S66" s="58"/>
    </row>
    <row r="67" spans="1:22" x14ac:dyDescent="0.2">
      <c r="A67" s="61"/>
      <c r="B67" s="61"/>
      <c r="C67" s="61"/>
      <c r="D67" s="61"/>
      <c r="E67" s="61"/>
      <c r="F67" s="61"/>
      <c r="G67" s="61"/>
      <c r="H67" s="61"/>
      <c r="I67" s="58"/>
      <c r="J67" s="58"/>
      <c r="K67" s="83"/>
      <c r="L67" s="81"/>
      <c r="M67" s="81"/>
      <c r="N67" s="87"/>
      <c r="O67" s="63"/>
      <c r="P67" s="63"/>
      <c r="Q67" s="58"/>
      <c r="R67" s="58"/>
      <c r="S67" s="58"/>
    </row>
    <row r="68" spans="1:22" x14ac:dyDescent="0.2">
      <c r="A68" s="61"/>
      <c r="B68" s="61"/>
      <c r="C68" s="61"/>
      <c r="D68" s="61"/>
      <c r="E68" s="61"/>
      <c r="F68" s="61"/>
      <c r="G68" s="61"/>
      <c r="H68" s="61"/>
      <c r="I68" s="58"/>
      <c r="J68" s="58"/>
      <c r="K68" s="64"/>
      <c r="L68" s="64"/>
      <c r="M68" s="64"/>
      <c r="N68" s="87"/>
      <c r="O68" s="63"/>
      <c r="P68" s="63"/>
      <c r="Q68" s="58"/>
      <c r="R68" s="58"/>
      <c r="S68" s="58"/>
      <c r="V68" s="23"/>
    </row>
    <row r="69" spans="1:22" x14ac:dyDescent="0.2">
      <c r="A69" s="61"/>
      <c r="B69" s="61"/>
      <c r="C69" s="61"/>
      <c r="D69" s="61"/>
      <c r="E69" s="61"/>
      <c r="F69" s="61"/>
      <c r="G69" s="61"/>
      <c r="H69" s="61"/>
      <c r="I69" s="58"/>
      <c r="J69" s="58"/>
      <c r="K69" s="83"/>
      <c r="L69" s="81"/>
      <c r="M69" s="81"/>
      <c r="N69" s="87"/>
      <c r="O69" s="63"/>
      <c r="P69" s="63"/>
      <c r="Q69" s="58"/>
      <c r="R69" s="58"/>
      <c r="S69" s="58"/>
      <c r="U69" s="23"/>
    </row>
    <row r="70" spans="1:22" x14ac:dyDescent="0.2">
      <c r="A70" s="61"/>
      <c r="B70" s="61"/>
      <c r="C70" s="61"/>
      <c r="D70" s="61"/>
      <c r="E70" s="61"/>
      <c r="F70" s="61"/>
      <c r="G70" s="61"/>
      <c r="H70" s="61"/>
      <c r="I70" s="58"/>
      <c r="J70" s="58"/>
      <c r="K70" s="64"/>
      <c r="L70" s="64"/>
      <c r="M70" s="64"/>
      <c r="N70" s="87"/>
      <c r="O70" s="63"/>
      <c r="P70" s="63"/>
      <c r="Q70" s="58"/>
      <c r="R70" s="58"/>
      <c r="S70" s="58"/>
    </row>
    <row r="71" spans="1:22" x14ac:dyDescent="0.2">
      <c r="A71" s="61"/>
      <c r="B71" s="61"/>
      <c r="C71" s="61"/>
      <c r="D71" s="61"/>
      <c r="E71" s="61"/>
      <c r="F71" s="61"/>
      <c r="G71" s="61"/>
      <c r="H71" s="61"/>
      <c r="I71" s="58"/>
      <c r="J71" s="58"/>
      <c r="K71" s="83"/>
      <c r="L71" s="81"/>
      <c r="M71" s="81"/>
      <c r="N71" s="87"/>
      <c r="O71" s="63"/>
      <c r="P71" s="63"/>
      <c r="Q71" s="58"/>
      <c r="R71" s="58"/>
      <c r="S71" s="58"/>
    </row>
    <row r="72" spans="1:22" x14ac:dyDescent="0.2">
      <c r="A72" s="61"/>
      <c r="B72" s="61"/>
      <c r="C72" s="61"/>
      <c r="D72" s="61"/>
      <c r="E72" s="61"/>
      <c r="F72" s="61"/>
      <c r="G72" s="61"/>
      <c r="H72" s="61"/>
      <c r="I72" s="58"/>
      <c r="J72" s="58"/>
      <c r="K72" s="79"/>
      <c r="L72" s="79"/>
      <c r="M72" s="80"/>
      <c r="N72" s="58"/>
      <c r="O72" s="58"/>
      <c r="P72" s="58"/>
      <c r="Q72" s="58"/>
      <c r="R72" s="58"/>
      <c r="S72" s="58"/>
    </row>
    <row r="73" spans="1:22" x14ac:dyDescent="0.2">
      <c r="A73" s="61"/>
      <c r="B73" s="61"/>
      <c r="C73" s="61"/>
      <c r="D73" s="61"/>
      <c r="E73" s="61"/>
      <c r="F73" s="61"/>
      <c r="G73" s="61"/>
      <c r="H73" s="61"/>
      <c r="I73" s="58"/>
      <c r="J73" s="58"/>
      <c r="K73" s="83"/>
      <c r="L73" s="81"/>
      <c r="M73" s="81"/>
      <c r="N73" s="84"/>
      <c r="O73" s="58"/>
      <c r="P73" s="58"/>
      <c r="Q73" s="58"/>
      <c r="R73" s="58"/>
      <c r="S73" s="58"/>
    </row>
    <row r="74" spans="1:22" x14ac:dyDescent="0.2">
      <c r="A74" s="61"/>
      <c r="B74" s="61"/>
      <c r="C74" s="61"/>
      <c r="D74" s="61"/>
      <c r="E74" s="61"/>
      <c r="F74" s="61"/>
      <c r="G74" s="61"/>
      <c r="H74" s="61"/>
      <c r="I74" s="58"/>
      <c r="J74" s="58"/>
      <c r="K74" s="79"/>
      <c r="L74" s="79"/>
      <c r="M74" s="79"/>
      <c r="N74" s="84"/>
      <c r="O74" s="58"/>
      <c r="P74" s="58"/>
      <c r="Q74" s="58"/>
      <c r="R74" s="58"/>
      <c r="S74" s="58"/>
    </row>
    <row r="75" spans="1:22" x14ac:dyDescent="0.2">
      <c r="A75" s="61"/>
      <c r="B75" s="61"/>
      <c r="C75" s="61"/>
      <c r="D75" s="61"/>
      <c r="E75" s="61"/>
      <c r="F75" s="61"/>
      <c r="G75" s="61"/>
      <c r="H75" s="61"/>
      <c r="I75" s="58"/>
      <c r="J75" s="58"/>
      <c r="K75" s="83"/>
      <c r="L75" s="81"/>
      <c r="M75" s="81"/>
      <c r="N75" s="84"/>
      <c r="O75" s="58"/>
      <c r="P75" s="58"/>
      <c r="Q75" s="58"/>
      <c r="R75" s="58"/>
      <c r="S75" s="58"/>
    </row>
    <row r="76" spans="1:22" x14ac:dyDescent="0.2">
      <c r="A76" s="61"/>
      <c r="B76" s="61"/>
      <c r="C76" s="61"/>
      <c r="D76" s="61"/>
      <c r="E76" s="61"/>
      <c r="F76" s="61"/>
      <c r="G76" s="61"/>
      <c r="H76" s="61"/>
      <c r="I76" s="58"/>
      <c r="J76" s="58"/>
      <c r="K76" s="83"/>
      <c r="L76" s="83"/>
      <c r="M76" s="58"/>
      <c r="N76" s="58"/>
      <c r="O76" s="58"/>
      <c r="P76" s="58"/>
      <c r="Q76" s="58"/>
      <c r="R76" s="58"/>
      <c r="S76" s="58"/>
    </row>
    <row r="77" spans="1:22" x14ac:dyDescent="0.2">
      <c r="J77" s="23"/>
      <c r="K77" s="85"/>
      <c r="L77" s="85"/>
      <c r="M77" s="23"/>
      <c r="N77" s="23"/>
      <c r="O77" s="23"/>
      <c r="P77" s="23"/>
      <c r="Q77" s="23"/>
      <c r="R77" s="23"/>
      <c r="S77" s="23"/>
    </row>
  </sheetData>
  <sheetProtection selectLockedCells="1"/>
  <mergeCells count="27">
    <mergeCell ref="A61:S61"/>
    <mergeCell ref="B2:R2"/>
    <mergeCell ref="B4:R4"/>
    <mergeCell ref="A8:B8"/>
    <mergeCell ref="C8:D8"/>
    <mergeCell ref="A10:B10"/>
    <mergeCell ref="C10:D10"/>
    <mergeCell ref="H48:I48"/>
    <mergeCell ref="J23:K23"/>
    <mergeCell ref="A12:B12"/>
    <mergeCell ref="C12:D12"/>
    <mergeCell ref="A14:B14"/>
    <mergeCell ref="C14:D14"/>
    <mergeCell ref="C16:D16"/>
    <mergeCell ref="L51:M51"/>
    <mergeCell ref="L58:M58"/>
    <mergeCell ref="H55:I55"/>
    <mergeCell ref="O20:P20"/>
    <mergeCell ref="O23:P23"/>
    <mergeCell ref="O27:P27"/>
    <mergeCell ref="O30:P30"/>
    <mergeCell ref="O34:P34"/>
    <mergeCell ref="J58:K58"/>
    <mergeCell ref="O37:P37"/>
    <mergeCell ref="O41:P41"/>
    <mergeCell ref="O44:P44"/>
    <mergeCell ref="J51:K51"/>
  </mergeCells>
  <printOptions horizontalCentered="1" verticalCentered="1"/>
  <pageMargins left="0.25" right="0.25" top="0.75" bottom="0.75" header="0.3" footer="0.3"/>
  <pageSetup scale="62" orientation="portrait" horizontalDpi="4294967293" r:id="rId1"/>
  <headerFooter alignWithMargins="0"/>
  <rowBreaks count="1" manualBreakCount="1">
    <brk id="52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4">
    <pageSetUpPr fitToPage="1"/>
  </sheetPr>
  <dimension ref="A1:S46"/>
  <sheetViews>
    <sheetView zoomScaleNormal="100" workbookViewId="0">
      <selection activeCell="F46" sqref="F46"/>
    </sheetView>
  </sheetViews>
  <sheetFormatPr defaultRowHeight="12.75" x14ac:dyDescent="0.2"/>
  <cols>
    <col min="1" max="1" width="15.7109375" style="12" customWidth="1"/>
    <col min="2" max="2" width="8.85546875" style="12" customWidth="1"/>
    <col min="3" max="3" width="11.7109375" style="12" customWidth="1"/>
    <col min="4" max="4" width="11.42578125" style="14" bestFit="1" customWidth="1"/>
    <col min="5" max="5" width="8.7109375" style="14" customWidth="1"/>
    <col min="6" max="6" width="11.85546875" style="12" customWidth="1"/>
    <col min="7" max="7" width="3.5703125" style="14" customWidth="1"/>
    <col min="8" max="8" width="16.5703125" style="14" customWidth="1"/>
    <col min="9" max="9" width="6.5703125" style="12" customWidth="1"/>
    <col min="10" max="10" width="9.85546875" style="12" customWidth="1"/>
    <col min="11" max="11" width="8.5703125" style="12" customWidth="1"/>
    <col min="12" max="12" width="2.140625" style="12" bestFit="1" customWidth="1"/>
    <col min="13" max="13" width="9.5703125" style="13" bestFit="1" customWidth="1"/>
    <col min="14" max="14" width="5.140625" style="12" customWidth="1"/>
    <col min="15" max="15" width="4.42578125" style="14" customWidth="1"/>
    <col min="16" max="16" width="12.5703125" style="13" bestFit="1" customWidth="1"/>
    <col min="17" max="17" width="13.5703125" style="12" customWidth="1"/>
    <col min="18" max="18" width="2.140625" bestFit="1" customWidth="1"/>
  </cols>
  <sheetData>
    <row r="1" spans="1:19" ht="14.25" thickTop="1" thickBot="1" x14ac:dyDescent="0.25">
      <c r="A1" s="455"/>
      <c r="B1" s="456"/>
      <c r="C1" s="457"/>
      <c r="D1" s="456"/>
      <c r="E1" s="458"/>
      <c r="F1" s="457"/>
      <c r="G1" s="456"/>
      <c r="H1" s="456"/>
      <c r="I1" s="457"/>
      <c r="J1" s="457"/>
      <c r="K1" s="457"/>
      <c r="L1" s="457"/>
      <c r="M1" s="459"/>
      <c r="N1" s="457"/>
      <c r="O1" s="456"/>
      <c r="P1" s="459"/>
      <c r="Q1" s="460"/>
    </row>
    <row r="2" spans="1:19" ht="32.25" thickTop="1" thickBot="1" x14ac:dyDescent="0.6">
      <c r="A2" s="461"/>
      <c r="B2" s="753" t="str">
        <f>Input!B7</f>
        <v>55555, 55556, 55557</v>
      </c>
      <c r="C2" s="754"/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5"/>
      <c r="Q2" s="57"/>
    </row>
    <row r="3" spans="1:19" ht="14.25" thickTop="1" thickBot="1" x14ac:dyDescent="0.25">
      <c r="A3" s="461"/>
      <c r="B3" s="51"/>
      <c r="C3" s="50"/>
      <c r="D3" s="51"/>
      <c r="E3" s="52"/>
      <c r="F3" s="50"/>
      <c r="G3" s="51"/>
      <c r="H3" s="51"/>
      <c r="I3" s="50"/>
      <c r="J3" s="50"/>
      <c r="K3" s="50"/>
      <c r="L3" s="50"/>
      <c r="M3" s="56"/>
      <c r="N3" s="50"/>
      <c r="O3" s="51"/>
      <c r="P3" s="56"/>
      <c r="Q3" s="57"/>
    </row>
    <row r="4" spans="1:19" ht="32.25" thickTop="1" thickBot="1" x14ac:dyDescent="0.6">
      <c r="A4" s="461"/>
      <c r="B4" s="753" t="s">
        <v>59</v>
      </c>
      <c r="C4" s="754"/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5"/>
      <c r="Q4" s="57"/>
    </row>
    <row r="5" spans="1:19" ht="13.5" customHeight="1" thickTop="1" thickBot="1" x14ac:dyDescent="0.4">
      <c r="A5" s="462"/>
      <c r="B5" s="463"/>
      <c r="C5" s="463"/>
      <c r="D5" s="463"/>
      <c r="E5" s="463"/>
      <c r="F5" s="463"/>
      <c r="G5" s="463"/>
      <c r="H5" s="463"/>
      <c r="I5" s="463"/>
      <c r="J5" s="463"/>
      <c r="K5" s="463"/>
      <c r="L5" s="463"/>
      <c r="M5" s="464"/>
      <c r="N5" s="463"/>
      <c r="O5" s="463"/>
      <c r="P5" s="464"/>
      <c r="Q5" s="465"/>
    </row>
    <row r="6" spans="1:19" ht="14.25" thickTop="1" thickBot="1" x14ac:dyDescent="0.25">
      <c r="A6" s="50"/>
      <c r="B6" s="51"/>
      <c r="C6" s="50"/>
      <c r="D6" s="51"/>
      <c r="E6" s="52"/>
      <c r="F6" s="50"/>
      <c r="G6" s="51"/>
      <c r="H6" s="51"/>
      <c r="I6" s="50"/>
      <c r="J6" s="53"/>
      <c r="K6" s="53"/>
      <c r="L6" s="53"/>
      <c r="M6" s="54"/>
      <c r="N6" s="53"/>
      <c r="O6" s="55"/>
      <c r="P6" s="54"/>
      <c r="Q6" s="53"/>
    </row>
    <row r="7" spans="1:19" ht="18.75" thickTop="1" thickBot="1" x14ac:dyDescent="0.35">
      <c r="A7" s="466"/>
      <c r="B7" s="467"/>
      <c r="C7" s="468"/>
      <c r="D7" s="469"/>
      <c r="E7" s="470"/>
      <c r="F7" s="469"/>
      <c r="G7" s="471"/>
      <c r="H7" s="469"/>
      <c r="I7" s="189"/>
      <c r="J7" s="189"/>
      <c r="K7" s="189"/>
      <c r="L7" s="189"/>
      <c r="M7" s="472"/>
      <c r="N7" s="189"/>
      <c r="O7" s="233"/>
      <c r="P7" s="472"/>
      <c r="Q7" s="390"/>
      <c r="S7" s="23"/>
    </row>
    <row r="8" spans="1:19" s="4" customFormat="1" ht="18" thickBot="1" x14ac:dyDescent="0.35">
      <c r="A8" s="325"/>
      <c r="B8" s="769" t="s">
        <v>35</v>
      </c>
      <c r="C8" s="770"/>
      <c r="D8" s="473">
        <f>Input!C45</f>
        <v>1000000</v>
      </c>
      <c r="E8" s="262" t="s">
        <v>36</v>
      </c>
      <c r="F8" s="474"/>
      <c r="G8" s="230"/>
      <c r="H8" s="177"/>
      <c r="I8" s="475"/>
      <c r="J8" s="200"/>
      <c r="K8" s="476"/>
      <c r="L8" s="196"/>
      <c r="M8" s="200"/>
      <c r="N8" s="200"/>
      <c r="O8" s="475"/>
      <c r="P8" s="177"/>
      <c r="Q8" s="281"/>
    </row>
    <row r="9" spans="1:19" s="4" customFormat="1" ht="18" thickBot="1" x14ac:dyDescent="0.35">
      <c r="A9" s="327"/>
      <c r="B9" s="254"/>
      <c r="C9" s="254"/>
      <c r="D9" s="339"/>
      <c r="E9" s="477"/>
      <c r="F9" s="254"/>
      <c r="G9" s="339"/>
      <c r="H9" s="339"/>
      <c r="I9" s="254"/>
      <c r="J9" s="339"/>
      <c r="K9" s="254"/>
      <c r="L9" s="339"/>
      <c r="M9" s="478"/>
      <c r="N9" s="254"/>
      <c r="O9" s="339"/>
      <c r="P9" s="478"/>
      <c r="Q9" s="388"/>
    </row>
    <row r="10" spans="1:19" s="5" customFormat="1" ht="18.75" thickTop="1" thickBot="1" x14ac:dyDescent="0.35">
      <c r="A10" s="254"/>
      <c r="B10" s="177"/>
      <c r="C10" s="177"/>
      <c r="D10" s="196"/>
      <c r="E10" s="196"/>
      <c r="F10" s="177"/>
      <c r="G10" s="196"/>
      <c r="H10" s="196"/>
      <c r="I10" s="177"/>
      <c r="J10" s="196"/>
      <c r="K10" s="177"/>
      <c r="L10" s="196"/>
      <c r="M10" s="263"/>
      <c r="N10" s="177"/>
      <c r="O10" s="196"/>
      <c r="P10" s="263"/>
      <c r="Q10" s="177"/>
    </row>
    <row r="11" spans="1:19" s="4" customFormat="1" ht="18.75" thickTop="1" thickBot="1" x14ac:dyDescent="0.35">
      <c r="A11" s="389"/>
      <c r="B11" s="189"/>
      <c r="C11" s="189"/>
      <c r="D11" s="233"/>
      <c r="E11" s="233"/>
      <c r="F11" s="189"/>
      <c r="G11" s="233"/>
      <c r="H11" s="233"/>
      <c r="I11" s="189"/>
      <c r="J11" s="233"/>
      <c r="K11" s="189"/>
      <c r="L11" s="233"/>
      <c r="M11" s="472"/>
      <c r="N11" s="189"/>
      <c r="O11" s="233"/>
      <c r="P11" s="472"/>
      <c r="Q11" s="390"/>
      <c r="S11" s="33"/>
    </row>
    <row r="12" spans="1:19" s="4" customFormat="1" ht="18" thickBot="1" x14ac:dyDescent="0.35">
      <c r="A12" s="479" t="s">
        <v>52</v>
      </c>
      <c r="B12" s="264">
        <f>100/1020</f>
        <v>9.8039215686274508E-2</v>
      </c>
      <c r="C12" s="212" t="s">
        <v>57</v>
      </c>
      <c r="D12" s="196" t="s">
        <v>2</v>
      </c>
      <c r="E12" s="480">
        <f>D8/1000000</f>
        <v>1</v>
      </c>
      <c r="F12" s="205" t="s">
        <v>150</v>
      </c>
      <c r="G12" s="179"/>
      <c r="H12" s="181"/>
      <c r="I12" s="443" t="s">
        <v>0</v>
      </c>
      <c r="J12" s="265">
        <f>B12*E12</f>
        <v>9.8039215686274508E-2</v>
      </c>
      <c r="K12" s="212" t="s">
        <v>1</v>
      </c>
      <c r="L12" s="196"/>
      <c r="M12" s="481"/>
      <c r="N12" s="177"/>
      <c r="O12" s="196"/>
      <c r="P12" s="482"/>
      <c r="Q12" s="281"/>
    </row>
    <row r="13" spans="1:19" s="4" customFormat="1" ht="18" thickBot="1" x14ac:dyDescent="0.35">
      <c r="A13" s="429"/>
      <c r="B13" s="196"/>
      <c r="C13" s="205"/>
      <c r="D13" s="196"/>
      <c r="E13" s="196"/>
      <c r="F13" s="205"/>
      <c r="G13" s="196"/>
      <c r="H13" s="196"/>
      <c r="I13" s="177"/>
      <c r="J13" s="196"/>
      <c r="K13" s="177"/>
      <c r="L13" s="196"/>
      <c r="M13" s="263"/>
      <c r="N13" s="177"/>
      <c r="O13" s="196"/>
      <c r="P13" s="263"/>
      <c r="Q13" s="281"/>
      <c r="S13" s="33"/>
    </row>
    <row r="14" spans="1:19" s="4" customFormat="1" ht="18" thickBot="1" x14ac:dyDescent="0.35">
      <c r="A14" s="429"/>
      <c r="B14" s="483">
        <f>J12</f>
        <v>9.8039215686274508E-2</v>
      </c>
      <c r="C14" s="266" t="s">
        <v>1</v>
      </c>
      <c r="D14" s="196" t="s">
        <v>2</v>
      </c>
      <c r="E14" s="267">
        <f>Input!C46</f>
        <v>8760</v>
      </c>
      <c r="F14" s="212" t="s">
        <v>37</v>
      </c>
      <c r="G14" s="196" t="s">
        <v>2</v>
      </c>
      <c r="H14" s="244" t="s">
        <v>151</v>
      </c>
      <c r="I14" s="196" t="s">
        <v>0</v>
      </c>
      <c r="J14" s="268">
        <f>B14*8760/2000</f>
        <v>0.42941176470588233</v>
      </c>
      <c r="K14" s="212" t="s">
        <v>19</v>
      </c>
      <c r="L14" s="196"/>
      <c r="M14" s="291"/>
      <c r="N14" s="177"/>
      <c r="O14" s="196"/>
      <c r="P14" s="263"/>
      <c r="Q14" s="281"/>
      <c r="S14" s="33"/>
    </row>
    <row r="15" spans="1:19" s="4" customFormat="1" ht="18" thickBot="1" x14ac:dyDescent="0.35">
      <c r="A15" s="484"/>
      <c r="B15" s="339"/>
      <c r="C15" s="254"/>
      <c r="D15" s="339"/>
      <c r="E15" s="339"/>
      <c r="F15" s="254"/>
      <c r="G15" s="339"/>
      <c r="H15" s="339"/>
      <c r="I15" s="254"/>
      <c r="J15" s="339"/>
      <c r="K15" s="254"/>
      <c r="L15" s="339"/>
      <c r="M15" s="478"/>
      <c r="N15" s="254"/>
      <c r="O15" s="339"/>
      <c r="P15" s="478"/>
      <c r="Q15" s="388"/>
    </row>
    <row r="16" spans="1:19" s="4" customFormat="1" ht="18.75" thickTop="1" thickBot="1" x14ac:dyDescent="0.35">
      <c r="A16" s="269"/>
      <c r="B16" s="270"/>
      <c r="C16" s="271"/>
      <c r="D16" s="270"/>
      <c r="E16" s="270"/>
      <c r="F16" s="271"/>
      <c r="G16" s="270"/>
      <c r="H16" s="270"/>
      <c r="I16" s="271"/>
      <c r="J16" s="270"/>
      <c r="K16" s="271"/>
      <c r="L16" s="270"/>
      <c r="M16" s="272"/>
      <c r="N16" s="271"/>
      <c r="O16" s="270"/>
      <c r="P16" s="272"/>
      <c r="Q16" s="271"/>
    </row>
    <row r="17" spans="1:19" s="4" customFormat="1" ht="18.75" thickTop="1" thickBot="1" x14ac:dyDescent="0.35">
      <c r="A17" s="485"/>
      <c r="B17" s="233"/>
      <c r="C17" s="189"/>
      <c r="D17" s="233"/>
      <c r="E17" s="233"/>
      <c r="F17" s="189"/>
      <c r="G17" s="233"/>
      <c r="H17" s="233"/>
      <c r="I17" s="189"/>
      <c r="J17" s="233"/>
      <c r="K17" s="189"/>
      <c r="L17" s="233"/>
      <c r="M17" s="472"/>
      <c r="N17" s="189"/>
      <c r="O17" s="233"/>
      <c r="P17" s="472"/>
      <c r="Q17" s="390"/>
    </row>
    <row r="18" spans="1:19" s="4" customFormat="1" ht="18" thickBot="1" x14ac:dyDescent="0.35">
      <c r="A18" s="479" t="s">
        <v>38</v>
      </c>
      <c r="B18" s="264">
        <f>84/1020</f>
        <v>8.2352941176470587E-2</v>
      </c>
      <c r="C18" s="212" t="s">
        <v>57</v>
      </c>
      <c r="D18" s="196" t="s">
        <v>2</v>
      </c>
      <c r="E18" s="480">
        <f>E12</f>
        <v>1</v>
      </c>
      <c r="F18" s="246" t="s">
        <v>150</v>
      </c>
      <c r="G18" s="196"/>
      <c r="H18" s="196"/>
      <c r="I18" s="196" t="s">
        <v>0</v>
      </c>
      <c r="J18" s="265">
        <f>B18*E18</f>
        <v>8.2352941176470587E-2</v>
      </c>
      <c r="K18" s="212" t="s">
        <v>1</v>
      </c>
      <c r="L18" s="196"/>
      <c r="M18" s="481"/>
      <c r="N18" s="177"/>
      <c r="O18" s="196"/>
      <c r="P18" s="482"/>
      <c r="Q18" s="281"/>
      <c r="S18" s="33"/>
    </row>
    <row r="19" spans="1:19" s="4" customFormat="1" ht="18" thickBot="1" x14ac:dyDescent="0.35">
      <c r="A19" s="429"/>
      <c r="B19" s="196"/>
      <c r="C19" s="177"/>
      <c r="D19" s="196"/>
      <c r="E19" s="196"/>
      <c r="F19" s="273"/>
      <c r="G19" s="196"/>
      <c r="H19" s="196"/>
      <c r="I19" s="177"/>
      <c r="J19" s="285"/>
      <c r="K19" s="177"/>
      <c r="L19" s="196"/>
      <c r="M19" s="263"/>
      <c r="N19" s="177"/>
      <c r="O19" s="196"/>
      <c r="P19" s="263"/>
      <c r="Q19" s="281"/>
      <c r="S19" s="33"/>
    </row>
    <row r="20" spans="1:19" s="4" customFormat="1" ht="18" thickBot="1" x14ac:dyDescent="0.35">
      <c r="A20" s="429"/>
      <c r="B20" s="480">
        <f>J18</f>
        <v>8.2352941176470587E-2</v>
      </c>
      <c r="C20" s="212" t="s">
        <v>1</v>
      </c>
      <c r="D20" s="436" t="s">
        <v>2</v>
      </c>
      <c r="E20" s="267">
        <f>Input!C46</f>
        <v>8760</v>
      </c>
      <c r="F20" s="212" t="s">
        <v>37</v>
      </c>
      <c r="G20" s="196" t="s">
        <v>2</v>
      </c>
      <c r="H20" s="244" t="s">
        <v>151</v>
      </c>
      <c r="I20" s="196" t="s">
        <v>0</v>
      </c>
      <c r="J20" s="268">
        <f>B20*E20/2000</f>
        <v>0.36070588235294115</v>
      </c>
      <c r="K20" s="212" t="s">
        <v>19</v>
      </c>
      <c r="L20" s="196"/>
      <c r="M20" s="482"/>
      <c r="N20" s="177"/>
      <c r="O20" s="196"/>
      <c r="P20" s="263"/>
      <c r="Q20" s="281"/>
    </row>
    <row r="21" spans="1:19" ht="18" thickBot="1" x14ac:dyDescent="0.35">
      <c r="A21" s="327"/>
      <c r="B21" s="254"/>
      <c r="C21" s="254"/>
      <c r="D21" s="339"/>
      <c r="E21" s="339"/>
      <c r="F21" s="254"/>
      <c r="G21" s="339"/>
      <c r="H21" s="339"/>
      <c r="I21" s="254"/>
      <c r="J21" s="254"/>
      <c r="K21" s="254"/>
      <c r="L21" s="254"/>
      <c r="M21" s="478"/>
      <c r="N21" s="254"/>
      <c r="O21" s="339"/>
      <c r="P21" s="478"/>
      <c r="Q21" s="388"/>
    </row>
    <row r="22" spans="1:19" s="1" customFormat="1" ht="18.75" thickTop="1" thickBot="1" x14ac:dyDescent="0.35">
      <c r="A22" s="271"/>
      <c r="B22" s="271"/>
      <c r="C22" s="271"/>
      <c r="D22" s="270"/>
      <c r="E22" s="270"/>
      <c r="F22" s="271"/>
      <c r="G22" s="270"/>
      <c r="H22" s="270"/>
      <c r="I22" s="271"/>
      <c r="J22" s="271"/>
      <c r="K22" s="271"/>
      <c r="L22" s="271"/>
      <c r="M22" s="272"/>
      <c r="N22" s="271"/>
      <c r="O22" s="270"/>
      <c r="P22" s="272"/>
      <c r="Q22" s="271"/>
    </row>
    <row r="23" spans="1:19" ht="18.75" thickTop="1" thickBot="1" x14ac:dyDescent="0.35">
      <c r="A23" s="389"/>
      <c r="B23" s="189"/>
      <c r="C23" s="189"/>
      <c r="D23" s="233"/>
      <c r="E23" s="233"/>
      <c r="F23" s="189"/>
      <c r="G23" s="233"/>
      <c r="H23" s="233"/>
      <c r="I23" s="189"/>
      <c r="J23" s="189"/>
      <c r="K23" s="189"/>
      <c r="L23" s="189"/>
      <c r="M23" s="472"/>
      <c r="N23" s="189"/>
      <c r="O23" s="233"/>
      <c r="P23" s="472"/>
      <c r="Q23" s="390"/>
    </row>
    <row r="24" spans="1:19" s="4" customFormat="1" ht="18" thickBot="1" x14ac:dyDescent="0.35">
      <c r="A24" s="479" t="s">
        <v>45</v>
      </c>
      <c r="B24" s="264">
        <f>5.5/1020</f>
        <v>5.392156862745098E-3</v>
      </c>
      <c r="C24" s="212" t="s">
        <v>57</v>
      </c>
      <c r="D24" s="196" t="s">
        <v>2</v>
      </c>
      <c r="E24" s="480">
        <f>E12</f>
        <v>1</v>
      </c>
      <c r="F24" s="273" t="s">
        <v>150</v>
      </c>
      <c r="G24" s="436"/>
      <c r="H24" s="196"/>
      <c r="I24" s="196" t="s">
        <v>0</v>
      </c>
      <c r="J24" s="265">
        <f>B24*E24</f>
        <v>5.392156862745098E-3</v>
      </c>
      <c r="K24" s="212" t="s">
        <v>1</v>
      </c>
      <c r="L24" s="196"/>
      <c r="M24" s="481"/>
      <c r="N24" s="177"/>
      <c r="O24" s="196"/>
      <c r="P24" s="482"/>
      <c r="Q24" s="281"/>
    </row>
    <row r="25" spans="1:19" s="4" customFormat="1" ht="18" thickBot="1" x14ac:dyDescent="0.35">
      <c r="A25" s="429"/>
      <c r="B25" s="196"/>
      <c r="C25" s="177"/>
      <c r="D25" s="196"/>
      <c r="E25" s="196"/>
      <c r="F25" s="273"/>
      <c r="G25" s="196"/>
      <c r="H25" s="196"/>
      <c r="I25" s="177"/>
      <c r="J25" s="285"/>
      <c r="K25" s="177"/>
      <c r="L25" s="196"/>
      <c r="M25" s="263"/>
      <c r="N25" s="177"/>
      <c r="O25" s="196"/>
      <c r="P25" s="263"/>
      <c r="Q25" s="281"/>
    </row>
    <row r="26" spans="1:19" s="4" customFormat="1" ht="18" thickBot="1" x14ac:dyDescent="0.35">
      <c r="A26" s="429"/>
      <c r="B26" s="480">
        <f>J24</f>
        <v>5.392156862745098E-3</v>
      </c>
      <c r="C26" s="212" t="s">
        <v>1</v>
      </c>
      <c r="D26" s="435" t="s">
        <v>2</v>
      </c>
      <c r="E26" s="267">
        <f>Input!C46</f>
        <v>8760</v>
      </c>
      <c r="F26" s="212" t="s">
        <v>37</v>
      </c>
      <c r="G26" s="196" t="s">
        <v>2</v>
      </c>
      <c r="H26" s="244" t="s">
        <v>151</v>
      </c>
      <c r="I26" s="196" t="s">
        <v>0</v>
      </c>
      <c r="J26" s="268">
        <f>B26*E26/2000</f>
        <v>2.3617647058823528E-2</v>
      </c>
      <c r="K26" s="212" t="s">
        <v>19</v>
      </c>
      <c r="L26" s="196"/>
      <c r="M26" s="482"/>
      <c r="N26" s="177"/>
      <c r="O26" s="196"/>
      <c r="P26" s="263"/>
      <c r="Q26" s="281"/>
    </row>
    <row r="27" spans="1:19" ht="18" thickBot="1" x14ac:dyDescent="0.35">
      <c r="A27" s="327"/>
      <c r="B27" s="254"/>
      <c r="C27" s="254"/>
      <c r="D27" s="339"/>
      <c r="E27" s="339"/>
      <c r="F27" s="254"/>
      <c r="G27" s="339"/>
      <c r="H27" s="339"/>
      <c r="I27" s="254"/>
      <c r="J27" s="254"/>
      <c r="K27" s="254"/>
      <c r="L27" s="254"/>
      <c r="M27" s="478"/>
      <c r="N27" s="254"/>
      <c r="O27" s="339"/>
      <c r="P27" s="478"/>
      <c r="Q27" s="388"/>
    </row>
    <row r="28" spans="1:19" ht="18.75" thickTop="1" thickBot="1" x14ac:dyDescent="0.35">
      <c r="A28" s="177"/>
      <c r="B28" s="177"/>
      <c r="C28" s="177"/>
      <c r="D28" s="196"/>
      <c r="E28" s="196"/>
      <c r="F28" s="177"/>
      <c r="G28" s="196"/>
      <c r="H28" s="196"/>
      <c r="I28" s="177"/>
      <c r="J28" s="177"/>
      <c r="K28" s="177"/>
      <c r="L28" s="177"/>
      <c r="M28" s="263"/>
      <c r="N28" s="177"/>
      <c r="O28" s="196"/>
      <c r="P28" s="263"/>
      <c r="Q28" s="177"/>
      <c r="S28" s="23"/>
    </row>
    <row r="29" spans="1:19" ht="18.75" thickTop="1" thickBot="1" x14ac:dyDescent="0.35">
      <c r="A29" s="389"/>
      <c r="B29" s="189"/>
      <c r="C29" s="189"/>
      <c r="D29" s="233"/>
      <c r="E29" s="233"/>
      <c r="F29" s="189"/>
      <c r="G29" s="233"/>
      <c r="H29" s="233"/>
      <c r="I29" s="189"/>
      <c r="J29" s="189"/>
      <c r="K29" s="189"/>
      <c r="L29" s="189"/>
      <c r="M29" s="472"/>
      <c r="N29" s="189"/>
      <c r="O29" s="233"/>
      <c r="P29" s="472"/>
      <c r="Q29" s="390"/>
    </row>
    <row r="30" spans="1:19" s="4" customFormat="1" ht="18" thickBot="1" x14ac:dyDescent="0.35">
      <c r="A30" s="479" t="s">
        <v>94</v>
      </c>
      <c r="B30" s="274">
        <f>1.89/1020</f>
        <v>1.8529411764705882E-3</v>
      </c>
      <c r="C30" s="204" t="s">
        <v>57</v>
      </c>
      <c r="D30" s="196" t="s">
        <v>2</v>
      </c>
      <c r="E30" s="486">
        <f>E18</f>
        <v>1</v>
      </c>
      <c r="F30" s="204" t="s">
        <v>150</v>
      </c>
      <c r="G30" s="196"/>
      <c r="H30" s="196"/>
      <c r="I30" s="196" t="s">
        <v>0</v>
      </c>
      <c r="J30" s="275">
        <f>B30*E30</f>
        <v>1.8529411764705882E-3</v>
      </c>
      <c r="K30" s="204" t="s">
        <v>1</v>
      </c>
      <c r="L30" s="196"/>
      <c r="M30" s="481"/>
      <c r="N30" s="177"/>
      <c r="O30" s="196"/>
      <c r="P30" s="482"/>
      <c r="Q30" s="281"/>
      <c r="S30" s="33"/>
    </row>
    <row r="31" spans="1:19" s="4" customFormat="1" ht="18" thickBot="1" x14ac:dyDescent="0.35">
      <c r="A31" s="429"/>
      <c r="B31" s="196"/>
      <c r="C31" s="177"/>
      <c r="D31" s="196"/>
      <c r="E31" s="196"/>
      <c r="F31" s="487"/>
      <c r="G31" s="196"/>
      <c r="H31" s="196"/>
      <c r="I31" s="177"/>
      <c r="J31" s="285"/>
      <c r="K31" s="177"/>
      <c r="L31" s="196"/>
      <c r="M31" s="263"/>
      <c r="N31" s="177"/>
      <c r="O31" s="196"/>
      <c r="P31" s="263"/>
      <c r="Q31" s="281"/>
    </row>
    <row r="32" spans="1:19" s="4" customFormat="1" ht="18" thickBot="1" x14ac:dyDescent="0.35">
      <c r="A32" s="429"/>
      <c r="B32" s="486">
        <f>J30</f>
        <v>1.8529411764705882E-3</v>
      </c>
      <c r="C32" s="276" t="s">
        <v>1</v>
      </c>
      <c r="D32" s="196" t="s">
        <v>2</v>
      </c>
      <c r="E32" s="277">
        <f>Input!C46</f>
        <v>8760</v>
      </c>
      <c r="F32" s="204" t="s">
        <v>37</v>
      </c>
      <c r="G32" s="196" t="s">
        <v>2</v>
      </c>
      <c r="H32" s="278" t="s">
        <v>151</v>
      </c>
      <c r="I32" s="196" t="s">
        <v>0</v>
      </c>
      <c r="J32" s="279">
        <f>B32*E32/2000</f>
        <v>8.1158823529411759E-3</v>
      </c>
      <c r="K32" s="204" t="s">
        <v>19</v>
      </c>
      <c r="L32" s="196"/>
      <c r="M32" s="482"/>
      <c r="N32" s="177"/>
      <c r="O32" s="196"/>
      <c r="P32" s="263"/>
      <c r="Q32" s="281"/>
    </row>
    <row r="33" spans="1:19" ht="18" thickBot="1" x14ac:dyDescent="0.35">
      <c r="A33" s="327"/>
      <c r="B33" s="254"/>
      <c r="C33" s="440"/>
      <c r="D33" s="339"/>
      <c r="E33" s="339"/>
      <c r="F33" s="254"/>
      <c r="G33" s="339"/>
      <c r="H33" s="339"/>
      <c r="I33" s="254"/>
      <c r="J33" s="254"/>
      <c r="K33" s="254"/>
      <c r="L33" s="254"/>
      <c r="M33" s="478"/>
      <c r="N33" s="254"/>
      <c r="O33" s="339"/>
      <c r="P33" s="478"/>
      <c r="Q33" s="388"/>
    </row>
    <row r="34" spans="1:19" ht="18.75" thickTop="1" thickBot="1" x14ac:dyDescent="0.35">
      <c r="A34" s="200"/>
      <c r="B34" s="200"/>
      <c r="C34" s="200"/>
      <c r="D34" s="208"/>
      <c r="E34" s="208"/>
      <c r="F34" s="200"/>
      <c r="G34" s="208"/>
      <c r="H34" s="208"/>
      <c r="I34" s="200"/>
      <c r="J34" s="200"/>
      <c r="K34" s="200"/>
      <c r="L34" s="200"/>
      <c r="M34" s="280"/>
      <c r="N34" s="200"/>
      <c r="O34" s="208"/>
      <c r="P34" s="280"/>
      <c r="Q34" s="200"/>
    </row>
    <row r="35" spans="1:19" ht="18.75" thickTop="1" thickBot="1" x14ac:dyDescent="0.35">
      <c r="A35" s="768" t="s">
        <v>186</v>
      </c>
      <c r="B35" s="768"/>
      <c r="C35" s="768"/>
      <c r="D35" s="768"/>
      <c r="E35" s="768"/>
      <c r="F35" s="768"/>
      <c r="G35" s="768"/>
      <c r="H35" s="768"/>
      <c r="I35" s="768"/>
      <c r="J35" s="200"/>
      <c r="K35" s="281"/>
      <c r="L35" s="189"/>
      <c r="M35" s="472"/>
      <c r="N35" s="427"/>
      <c r="O35" s="488"/>
      <c r="P35" s="489"/>
      <c r="Q35" s="390"/>
    </row>
    <row r="36" spans="1:19" ht="18" thickBot="1" x14ac:dyDescent="0.35">
      <c r="A36" s="768" t="s">
        <v>160</v>
      </c>
      <c r="B36" s="768"/>
      <c r="C36" s="768"/>
      <c r="D36" s="768"/>
      <c r="E36" s="768"/>
      <c r="F36" s="768"/>
      <c r="G36" s="768"/>
      <c r="H36" s="768"/>
      <c r="I36" s="768"/>
      <c r="J36" s="200"/>
      <c r="K36" s="282"/>
      <c r="L36" s="181"/>
      <c r="M36" s="263"/>
      <c r="N36" s="766">
        <f>J14</f>
        <v>0.42941176470588233</v>
      </c>
      <c r="O36" s="767"/>
      <c r="P36" s="283" t="s">
        <v>163</v>
      </c>
      <c r="Q36" s="281"/>
    </row>
    <row r="37" spans="1:19" ht="18" thickBot="1" x14ac:dyDescent="0.35">
      <c r="A37" s="768"/>
      <c r="B37" s="768"/>
      <c r="C37" s="768"/>
      <c r="D37" s="768"/>
      <c r="E37" s="768"/>
      <c r="F37" s="768"/>
      <c r="G37" s="768"/>
      <c r="H37" s="768"/>
      <c r="I37" s="768"/>
      <c r="J37" s="200"/>
      <c r="K37" s="281"/>
      <c r="L37" s="177"/>
      <c r="M37" s="263"/>
      <c r="N37" s="205"/>
      <c r="O37" s="297"/>
      <c r="P37" s="490"/>
      <c r="Q37" s="281"/>
    </row>
    <row r="38" spans="1:19" ht="18" thickBot="1" x14ac:dyDescent="0.35">
      <c r="A38" s="200"/>
      <c r="B38" s="200"/>
      <c r="C38" s="200"/>
      <c r="D38" s="208"/>
      <c r="E38" s="208"/>
      <c r="F38" s="200"/>
      <c r="G38" s="208"/>
      <c r="H38" s="200"/>
      <c r="I38" s="200"/>
      <c r="J38" s="200"/>
      <c r="K38" s="282"/>
      <c r="L38" s="181"/>
      <c r="M38" s="491"/>
      <c r="N38" s="766">
        <f>J20</f>
        <v>0.36070588235294115</v>
      </c>
      <c r="O38" s="767"/>
      <c r="P38" s="283" t="s">
        <v>164</v>
      </c>
      <c r="Q38" s="281"/>
    </row>
    <row r="39" spans="1:19" ht="18" thickBot="1" x14ac:dyDescent="0.35">
      <c r="A39" s="200"/>
      <c r="B39" s="200"/>
      <c r="C39" s="200"/>
      <c r="D39" s="208"/>
      <c r="E39" s="208"/>
      <c r="F39" s="200"/>
      <c r="G39" s="208"/>
      <c r="H39" s="208"/>
      <c r="I39" s="200"/>
      <c r="J39" s="177"/>
      <c r="K39" s="281"/>
      <c r="L39" s="177"/>
      <c r="M39" s="263"/>
      <c r="N39" s="492"/>
      <c r="O39" s="492"/>
      <c r="P39" s="490"/>
      <c r="Q39" s="281"/>
      <c r="S39" s="23"/>
    </row>
    <row r="40" spans="1:19" ht="18" thickBot="1" x14ac:dyDescent="0.35">
      <c r="A40" s="200"/>
      <c r="B40" s="200"/>
      <c r="C40" s="200"/>
      <c r="D40" s="208"/>
      <c r="E40" s="208"/>
      <c r="F40" s="200"/>
      <c r="G40" s="208"/>
      <c r="H40" s="200"/>
      <c r="I40" s="177"/>
      <c r="J40" s="200"/>
      <c r="K40" s="282"/>
      <c r="L40" s="181"/>
      <c r="M40" s="491"/>
      <c r="N40" s="766">
        <f>J26</f>
        <v>2.3617647058823528E-2</v>
      </c>
      <c r="O40" s="767"/>
      <c r="P40" s="283" t="s">
        <v>165</v>
      </c>
      <c r="Q40" s="281"/>
    </row>
    <row r="41" spans="1:19" ht="18" thickBot="1" x14ac:dyDescent="0.35">
      <c r="A41" s="200"/>
      <c r="B41" s="200"/>
      <c r="C41" s="200"/>
      <c r="D41" s="208"/>
      <c r="E41" s="208"/>
      <c r="F41" s="200"/>
      <c r="G41" s="208"/>
      <c r="H41" s="200"/>
      <c r="I41" s="200"/>
      <c r="J41" s="200"/>
      <c r="K41" s="284"/>
      <c r="L41" s="256"/>
      <c r="M41" s="256"/>
      <c r="N41" s="492"/>
      <c r="O41" s="492"/>
      <c r="P41" s="493"/>
      <c r="Q41" s="281"/>
    </row>
    <row r="42" spans="1:19" ht="18" thickBot="1" x14ac:dyDescent="0.35">
      <c r="A42" s="200"/>
      <c r="B42" s="200"/>
      <c r="C42" s="200"/>
      <c r="D42" s="208"/>
      <c r="E42" s="208"/>
      <c r="F42" s="200"/>
      <c r="G42" s="208"/>
      <c r="H42" s="200"/>
      <c r="I42" s="200"/>
      <c r="J42" s="200"/>
      <c r="K42" s="282"/>
      <c r="L42" s="181"/>
      <c r="M42" s="181"/>
      <c r="N42" s="766">
        <f>J32</f>
        <v>8.1158823529411759E-3</v>
      </c>
      <c r="O42" s="767"/>
      <c r="P42" s="283" t="s">
        <v>166</v>
      </c>
      <c r="Q42" s="281"/>
    </row>
    <row r="43" spans="1:19" ht="18" thickBot="1" x14ac:dyDescent="0.35">
      <c r="A43" s="200"/>
      <c r="B43" s="200"/>
      <c r="C43" s="200"/>
      <c r="D43" s="208"/>
      <c r="E43" s="208"/>
      <c r="F43" s="200"/>
      <c r="G43" s="208"/>
      <c r="H43" s="208"/>
      <c r="I43" s="200"/>
      <c r="J43" s="200"/>
      <c r="K43" s="281"/>
      <c r="L43" s="254"/>
      <c r="M43" s="478"/>
      <c r="N43" s="254"/>
      <c r="O43" s="339"/>
      <c r="P43" s="478"/>
      <c r="Q43" s="388"/>
    </row>
    <row r="44" spans="1:19" ht="13.5" thickTop="1" x14ac:dyDescent="0.2">
      <c r="M44" s="43"/>
    </row>
    <row r="45" spans="1:19" x14ac:dyDescent="0.2">
      <c r="P45" s="15"/>
    </row>
    <row r="46" spans="1:19" x14ac:dyDescent="0.2">
      <c r="P46" s="15"/>
    </row>
  </sheetData>
  <sheetProtection selectLockedCells="1"/>
  <mergeCells count="10">
    <mergeCell ref="N38:O38"/>
    <mergeCell ref="N40:O40"/>
    <mergeCell ref="N42:O42"/>
    <mergeCell ref="B2:P2"/>
    <mergeCell ref="B4:P4"/>
    <mergeCell ref="A35:I35"/>
    <mergeCell ref="A36:I36"/>
    <mergeCell ref="A37:I37"/>
    <mergeCell ref="B8:C8"/>
    <mergeCell ref="N36:O36"/>
  </mergeCells>
  <phoneticPr fontId="0" type="noConversion"/>
  <printOptions horizontalCentered="1" verticalCentered="1"/>
  <pageMargins left="0.25" right="0.25" top="0.75" bottom="0.75" header="0.3" footer="0.3"/>
  <pageSetup scale="65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M40"/>
  <sheetViews>
    <sheetView zoomScaleNormal="100" workbookViewId="0">
      <selection activeCell="P27" sqref="P27"/>
    </sheetView>
  </sheetViews>
  <sheetFormatPr defaultRowHeight="12.75" x14ac:dyDescent="0.2"/>
  <cols>
    <col min="1" max="1" width="10.85546875" customWidth="1"/>
    <col min="2" max="2" width="12" customWidth="1"/>
    <col min="3" max="3" width="3.5703125" customWidth="1"/>
    <col min="4" max="4" width="10.5703125" customWidth="1"/>
    <col min="5" max="5" width="3.5703125" customWidth="1"/>
    <col min="6" max="6" width="10.7109375" customWidth="1"/>
    <col min="7" max="7" width="3.5703125" customWidth="1"/>
    <col min="8" max="8" width="13" customWidth="1"/>
    <col min="9" max="9" width="3.5703125" customWidth="1"/>
    <col min="10" max="10" width="12.42578125" customWidth="1"/>
    <col min="11" max="11" width="4.140625" customWidth="1"/>
    <col min="12" max="12" width="11.85546875" customWidth="1"/>
    <col min="13" max="13" width="14.5703125" customWidth="1"/>
  </cols>
  <sheetData>
    <row r="1" spans="1:13" ht="15.75" thickTop="1" thickBot="1" x14ac:dyDescent="0.3">
      <c r="A1" s="494"/>
      <c r="B1" s="175"/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495"/>
    </row>
    <row r="2" spans="1:13" ht="21.75" customHeight="1" thickTop="1" thickBot="1" x14ac:dyDescent="0.3">
      <c r="A2" s="496"/>
      <c r="B2" s="784" t="str">
        <f>Input!B7</f>
        <v>55555, 55556, 55557</v>
      </c>
      <c r="C2" s="785"/>
      <c r="D2" s="785"/>
      <c r="E2" s="785"/>
      <c r="F2" s="785"/>
      <c r="G2" s="785"/>
      <c r="H2" s="785"/>
      <c r="I2" s="785"/>
      <c r="J2" s="785"/>
      <c r="K2" s="785"/>
      <c r="L2" s="786"/>
      <c r="M2" s="261"/>
    </row>
    <row r="3" spans="1:13" ht="15.75" thickTop="1" thickBot="1" x14ac:dyDescent="0.3">
      <c r="A3" s="496"/>
      <c r="B3" s="176"/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261"/>
    </row>
    <row r="4" spans="1:13" ht="32.25" thickTop="1" thickBot="1" x14ac:dyDescent="0.6">
      <c r="A4" s="496"/>
      <c r="B4" s="753" t="s">
        <v>3</v>
      </c>
      <c r="C4" s="754"/>
      <c r="D4" s="754"/>
      <c r="E4" s="754"/>
      <c r="F4" s="754"/>
      <c r="G4" s="754"/>
      <c r="H4" s="754"/>
      <c r="I4" s="754"/>
      <c r="J4" s="754"/>
      <c r="K4" s="754"/>
      <c r="L4" s="755"/>
      <c r="M4" s="261"/>
    </row>
    <row r="5" spans="1:13" ht="15" thickTop="1" x14ac:dyDescent="0.25">
      <c r="A5" s="496"/>
      <c r="B5" s="176"/>
      <c r="C5" s="176"/>
      <c r="D5" s="176"/>
      <c r="E5" s="176"/>
      <c r="F5" s="176"/>
      <c r="G5" s="176"/>
      <c r="H5" s="176"/>
      <c r="I5" s="176"/>
      <c r="J5" s="176"/>
      <c r="K5" s="176"/>
      <c r="L5" s="176"/>
      <c r="M5" s="261"/>
    </row>
    <row r="6" spans="1:13" ht="17.25" x14ac:dyDescent="0.3">
      <c r="A6" s="325"/>
      <c r="B6" s="177"/>
      <c r="C6" s="177"/>
      <c r="D6" s="196" t="s">
        <v>4</v>
      </c>
      <c r="E6" s="177"/>
      <c r="F6" s="196" t="s">
        <v>5</v>
      </c>
      <c r="G6" s="177"/>
      <c r="H6" s="497" t="s">
        <v>170</v>
      </c>
      <c r="I6" s="177"/>
      <c r="J6" s="196" t="s">
        <v>6</v>
      </c>
      <c r="K6" s="177"/>
      <c r="L6" s="196" t="s">
        <v>7</v>
      </c>
      <c r="M6" s="281"/>
    </row>
    <row r="7" spans="1:13" ht="18" thickBot="1" x14ac:dyDescent="0.35">
      <c r="A7" s="325"/>
      <c r="B7" s="177"/>
      <c r="C7" s="177"/>
      <c r="D7" s="196" t="s">
        <v>167</v>
      </c>
      <c r="E7" s="177"/>
      <c r="F7" s="196" t="s">
        <v>168</v>
      </c>
      <c r="G7" s="177"/>
      <c r="H7" s="196" t="s">
        <v>171</v>
      </c>
      <c r="I7" s="177"/>
      <c r="J7" s="196">
        <v>460</v>
      </c>
      <c r="K7" s="177"/>
      <c r="L7" s="196" t="s">
        <v>8</v>
      </c>
      <c r="M7" s="281"/>
    </row>
    <row r="8" spans="1:13" ht="18" thickBot="1" x14ac:dyDescent="0.35">
      <c r="A8" s="325"/>
      <c r="B8" s="498">
        <v>12.46</v>
      </c>
      <c r="C8" s="257" t="s">
        <v>2</v>
      </c>
      <c r="D8" s="499">
        <f>Input!C49</f>
        <v>1</v>
      </c>
      <c r="E8" s="257" t="s">
        <v>2</v>
      </c>
      <c r="F8" s="499">
        <f>Input!C51</f>
        <v>14.4</v>
      </c>
      <c r="G8" s="257" t="s">
        <v>2</v>
      </c>
      <c r="H8" s="499">
        <f>Input!C50</f>
        <v>44.35</v>
      </c>
      <c r="I8" s="257" t="s">
        <v>9</v>
      </c>
      <c r="J8" s="499">
        <f>Input!C52+460</f>
        <v>510</v>
      </c>
      <c r="K8" s="257" t="s">
        <v>0</v>
      </c>
      <c r="L8" s="499">
        <f>ROUND(B8*D8*F8*(H8/J8), 2)</f>
        <v>15.6</v>
      </c>
      <c r="M8" s="387"/>
    </row>
    <row r="9" spans="1:13" ht="17.25" x14ac:dyDescent="0.3">
      <c r="A9" s="325"/>
      <c r="B9" s="218"/>
      <c r="C9" s="218"/>
      <c r="D9" s="218"/>
      <c r="E9" s="218"/>
      <c r="F9" s="218"/>
      <c r="G9" s="218"/>
      <c r="H9" s="218"/>
      <c r="I9" s="218"/>
      <c r="J9" s="218"/>
      <c r="K9" s="218"/>
      <c r="L9" s="218"/>
      <c r="M9" s="281"/>
    </row>
    <row r="10" spans="1:13" ht="17.25" x14ac:dyDescent="0.3">
      <c r="A10" s="325"/>
      <c r="B10" s="257" t="s">
        <v>10</v>
      </c>
      <c r="C10" s="218"/>
      <c r="D10" s="257" t="s">
        <v>11</v>
      </c>
      <c r="E10" s="218"/>
      <c r="F10" s="218" t="s">
        <v>12</v>
      </c>
      <c r="G10" s="218"/>
      <c r="H10" s="218"/>
      <c r="I10" s="218"/>
      <c r="J10" s="257" t="s">
        <v>17</v>
      </c>
      <c r="K10" s="218"/>
      <c r="L10" s="218"/>
      <c r="M10" s="281"/>
    </row>
    <row r="11" spans="1:13" ht="18" thickBot="1" x14ac:dyDescent="0.35">
      <c r="A11" s="325"/>
      <c r="B11" s="257" t="s">
        <v>13</v>
      </c>
      <c r="C11" s="218"/>
      <c r="D11" s="257" t="s">
        <v>14</v>
      </c>
      <c r="E11" s="218"/>
      <c r="F11" s="257" t="s">
        <v>39</v>
      </c>
      <c r="G11" s="218"/>
      <c r="H11" s="257" t="s">
        <v>15</v>
      </c>
      <c r="I11" s="218"/>
      <c r="J11" s="257" t="s">
        <v>1</v>
      </c>
      <c r="K11" s="218"/>
      <c r="L11" s="218"/>
      <c r="M11" s="281"/>
    </row>
    <row r="12" spans="1:13" ht="18" thickBot="1" x14ac:dyDescent="0.35">
      <c r="A12" s="325"/>
      <c r="B12" s="499">
        <f>L8</f>
        <v>15.6</v>
      </c>
      <c r="C12" s="257" t="s">
        <v>2</v>
      </c>
      <c r="D12" s="499">
        <f>Input!C53</f>
        <v>180</v>
      </c>
      <c r="E12" s="257" t="s">
        <v>9</v>
      </c>
      <c r="F12" s="499">
        <f>Input!C54</f>
        <v>1</v>
      </c>
      <c r="G12" s="257" t="s">
        <v>2</v>
      </c>
      <c r="H12" s="499">
        <v>42</v>
      </c>
      <c r="I12" s="257" t="s">
        <v>0</v>
      </c>
      <c r="J12" s="499">
        <f>(B12/1000)*(D12/F12)*H12</f>
        <v>117.93599999999999</v>
      </c>
      <c r="K12" s="218"/>
      <c r="L12" s="218"/>
      <c r="M12" s="281"/>
    </row>
    <row r="13" spans="1:13" ht="17.25" x14ac:dyDescent="0.3">
      <c r="A13" s="325"/>
      <c r="B13" s="218"/>
      <c r="C13" s="218"/>
      <c r="D13" s="218"/>
      <c r="E13" s="218"/>
      <c r="F13" s="218"/>
      <c r="G13" s="218"/>
      <c r="H13" s="218"/>
      <c r="I13" s="218"/>
      <c r="J13" s="218"/>
      <c r="K13" s="218"/>
      <c r="L13" s="218"/>
      <c r="M13" s="281"/>
    </row>
    <row r="14" spans="1:13" ht="17.25" x14ac:dyDescent="0.3">
      <c r="A14" s="325"/>
      <c r="B14" s="257" t="s">
        <v>10</v>
      </c>
      <c r="C14" s="218"/>
      <c r="D14" s="257" t="s">
        <v>16</v>
      </c>
      <c r="E14" s="218"/>
      <c r="F14" s="218"/>
      <c r="G14" s="218"/>
      <c r="H14" s="218"/>
      <c r="I14" s="218"/>
      <c r="J14" s="257" t="s">
        <v>17</v>
      </c>
      <c r="K14" s="218"/>
      <c r="L14" s="218"/>
      <c r="M14" s="281"/>
    </row>
    <row r="15" spans="1:13" ht="18" thickBot="1" x14ac:dyDescent="0.35">
      <c r="A15" s="325"/>
      <c r="B15" s="500" t="s">
        <v>13</v>
      </c>
      <c r="C15" s="218"/>
      <c r="D15" s="257" t="s">
        <v>152</v>
      </c>
      <c r="E15" s="218"/>
      <c r="F15" s="257" t="s">
        <v>15</v>
      </c>
      <c r="G15" s="218"/>
      <c r="H15" s="257" t="s">
        <v>18</v>
      </c>
      <c r="I15" s="218"/>
      <c r="J15" s="257" t="s">
        <v>31</v>
      </c>
      <c r="K15" s="218"/>
      <c r="L15" s="257" t="s">
        <v>356</v>
      </c>
      <c r="M15" s="281"/>
    </row>
    <row r="16" spans="1:13" ht="18" thickBot="1" x14ac:dyDescent="0.35">
      <c r="A16" s="501"/>
      <c r="B16" s="499">
        <f>L8</f>
        <v>15.6</v>
      </c>
      <c r="C16" s="257" t="s">
        <v>2</v>
      </c>
      <c r="D16" s="499">
        <f>Input!C16*365</f>
        <v>12336.999999999998</v>
      </c>
      <c r="E16" s="257" t="s">
        <v>2</v>
      </c>
      <c r="F16" s="499">
        <v>42</v>
      </c>
      <c r="G16" s="257" t="s">
        <v>9</v>
      </c>
      <c r="H16" s="499">
        <v>2000</v>
      </c>
      <c r="I16" s="257" t="s">
        <v>0</v>
      </c>
      <c r="J16" s="499">
        <f>(B16/1000)*D16*F16/H16</f>
        <v>4.0416011999999997</v>
      </c>
      <c r="K16" s="218"/>
      <c r="L16" s="499">
        <f>J16*Input!C23</f>
        <v>2.9996764106399998</v>
      </c>
      <c r="M16" s="281"/>
    </row>
    <row r="17" spans="1:13" ht="17.25" x14ac:dyDescent="0.3">
      <c r="A17" s="501"/>
      <c r="B17" s="291"/>
      <c r="C17" s="257"/>
      <c r="D17" s="291"/>
      <c r="E17" s="257"/>
      <c r="F17" s="291"/>
      <c r="G17" s="257"/>
      <c r="H17" s="291"/>
      <c r="I17" s="257"/>
      <c r="J17" s="291"/>
      <c r="K17" s="218"/>
      <c r="L17" s="291"/>
      <c r="M17" s="281"/>
    </row>
    <row r="18" spans="1:13" ht="17.25" x14ac:dyDescent="0.3">
      <c r="A18" s="501"/>
      <c r="B18" s="291"/>
      <c r="C18" s="257"/>
      <c r="D18" s="291"/>
      <c r="E18" s="257"/>
      <c r="F18" s="257"/>
      <c r="G18" s="257"/>
      <c r="H18" s="257" t="s">
        <v>48</v>
      </c>
      <c r="I18" s="257"/>
      <c r="J18" s="291"/>
      <c r="K18" s="218"/>
      <c r="L18" s="291"/>
      <c r="M18" s="281"/>
    </row>
    <row r="19" spans="1:13" ht="17.25" x14ac:dyDescent="0.3">
      <c r="A19" s="501"/>
      <c r="B19" s="291"/>
      <c r="C19" s="257"/>
      <c r="D19" s="291"/>
      <c r="E19" s="257"/>
      <c r="F19" s="257"/>
      <c r="G19" s="257"/>
      <c r="H19" s="257" t="s">
        <v>17</v>
      </c>
      <c r="I19" s="257"/>
      <c r="J19" s="291"/>
      <c r="K19" s="218"/>
      <c r="L19" s="291"/>
      <c r="M19" s="281"/>
    </row>
    <row r="20" spans="1:13" ht="18" thickBot="1" x14ac:dyDescent="0.35">
      <c r="A20" s="501"/>
      <c r="B20" s="257" t="s">
        <v>51</v>
      </c>
      <c r="C20" s="257"/>
      <c r="D20" s="257" t="s">
        <v>130</v>
      </c>
      <c r="E20" s="257"/>
      <c r="F20" s="257"/>
      <c r="G20" s="257"/>
      <c r="H20" s="257" t="s">
        <v>19</v>
      </c>
      <c r="I20" s="257"/>
      <c r="J20" s="291"/>
      <c r="K20" s="218"/>
      <c r="L20" s="291"/>
      <c r="M20" s="281"/>
    </row>
    <row r="21" spans="1:13" ht="18" thickBot="1" x14ac:dyDescent="0.35">
      <c r="A21" s="501"/>
      <c r="B21" s="499">
        <f>L16</f>
        <v>2.9996764106399998</v>
      </c>
      <c r="C21" s="257"/>
      <c r="D21" s="499">
        <f>IF(Input!B48="Oil is hauled by truck",0%, IF(Input!B48="Oil is sold through LACT",100%))</f>
        <v>0</v>
      </c>
      <c r="E21" s="257"/>
      <c r="F21" s="499">
        <f>(100%-D21)</f>
        <v>1</v>
      </c>
      <c r="G21" s="257"/>
      <c r="H21" s="499">
        <f>B21*F21</f>
        <v>2.9996764106399998</v>
      </c>
      <c r="I21" s="257"/>
      <c r="J21" s="291"/>
      <c r="K21" s="218"/>
      <c r="L21" s="291"/>
      <c r="M21" s="281"/>
    </row>
    <row r="22" spans="1:13" ht="18" thickBot="1" x14ac:dyDescent="0.35">
      <c r="A22" s="327"/>
      <c r="B22" s="254"/>
      <c r="C22" s="254"/>
      <c r="D22" s="254"/>
      <c r="E22" s="254"/>
      <c r="F22" s="254"/>
      <c r="G22" s="254"/>
      <c r="H22" s="254"/>
      <c r="I22" s="254"/>
      <c r="J22" s="254"/>
      <c r="K22" s="254"/>
      <c r="L22" s="254"/>
      <c r="M22" s="388"/>
    </row>
    <row r="23" spans="1:13" ht="18" thickTop="1" x14ac:dyDescent="0.3">
      <c r="A23" s="200"/>
      <c r="B23" s="200"/>
      <c r="C23" s="200"/>
      <c r="D23" s="200"/>
      <c r="E23" s="200"/>
      <c r="F23" s="200"/>
      <c r="G23" s="200"/>
      <c r="H23" s="200"/>
      <c r="I23" s="200"/>
      <c r="J23" s="200"/>
      <c r="K23" s="200"/>
      <c r="L23" s="200"/>
      <c r="M23" s="200"/>
    </row>
    <row r="24" spans="1:13" ht="18" thickBot="1" x14ac:dyDescent="0.35">
      <c r="A24" s="758" t="s">
        <v>169</v>
      </c>
      <c r="B24" s="758"/>
      <c r="C24" s="758"/>
      <c r="D24" s="758"/>
      <c r="E24" s="758"/>
      <c r="F24" s="758"/>
      <c r="G24" s="758"/>
      <c r="H24" s="758"/>
      <c r="I24" s="758"/>
      <c r="J24" s="758"/>
      <c r="K24" s="758"/>
      <c r="L24" s="758"/>
      <c r="M24" s="758"/>
    </row>
    <row r="25" spans="1:13" ht="18.75" thickTop="1" thickBot="1" x14ac:dyDescent="0.35">
      <c r="A25" s="787" t="s">
        <v>20</v>
      </c>
      <c r="B25" s="788"/>
      <c r="C25" s="788"/>
      <c r="D25" s="788"/>
      <c r="E25" s="789" t="s">
        <v>21</v>
      </c>
      <c r="F25" s="788"/>
      <c r="G25" s="788"/>
      <c r="H25" s="788"/>
      <c r="I25" s="788"/>
      <c r="J25" s="788"/>
      <c r="K25" s="788"/>
      <c r="L25" s="788"/>
      <c r="M25" s="329" t="s">
        <v>22</v>
      </c>
    </row>
    <row r="26" spans="1:13" ht="17.25" x14ac:dyDescent="0.3">
      <c r="A26" s="737" t="s">
        <v>23</v>
      </c>
      <c r="B26" s="779"/>
      <c r="C26" s="779"/>
      <c r="D26" s="760"/>
      <c r="E26" s="773" t="s">
        <v>24</v>
      </c>
      <c r="F26" s="774"/>
      <c r="G26" s="774"/>
      <c r="H26" s="774"/>
      <c r="I26" s="774"/>
      <c r="J26" s="774"/>
      <c r="K26" s="774"/>
      <c r="L26" s="775"/>
      <c r="M26" s="771">
        <v>0.5</v>
      </c>
    </row>
    <row r="27" spans="1:13" ht="18" thickBot="1" x14ac:dyDescent="0.35">
      <c r="A27" s="325"/>
      <c r="B27" s="177"/>
      <c r="C27" s="177"/>
      <c r="D27" s="326"/>
      <c r="E27" s="780"/>
      <c r="F27" s="781"/>
      <c r="G27" s="781"/>
      <c r="H27" s="781"/>
      <c r="I27" s="781"/>
      <c r="J27" s="781"/>
      <c r="K27" s="781"/>
      <c r="L27" s="782"/>
      <c r="M27" s="783"/>
    </row>
    <row r="28" spans="1:13" ht="17.25" x14ac:dyDescent="0.3">
      <c r="A28" s="325"/>
      <c r="B28" s="177"/>
      <c r="C28" s="177"/>
      <c r="D28" s="326"/>
      <c r="E28" s="773" t="s">
        <v>25</v>
      </c>
      <c r="F28" s="774"/>
      <c r="G28" s="774"/>
      <c r="H28" s="774"/>
      <c r="I28" s="774"/>
      <c r="J28" s="774"/>
      <c r="K28" s="774"/>
      <c r="L28" s="775"/>
      <c r="M28" s="771">
        <v>0.6</v>
      </c>
    </row>
    <row r="29" spans="1:13" ht="18" thickBot="1" x14ac:dyDescent="0.35">
      <c r="A29" s="325"/>
      <c r="B29" s="177"/>
      <c r="C29" s="177"/>
      <c r="D29" s="326"/>
      <c r="E29" s="780"/>
      <c r="F29" s="781"/>
      <c r="G29" s="781"/>
      <c r="H29" s="781"/>
      <c r="I29" s="781"/>
      <c r="J29" s="781"/>
      <c r="K29" s="781"/>
      <c r="L29" s="782"/>
      <c r="M29" s="783"/>
    </row>
    <row r="30" spans="1:13" ht="17.25" x14ac:dyDescent="0.3">
      <c r="A30" s="325"/>
      <c r="B30" s="177"/>
      <c r="C30" s="177"/>
      <c r="D30" s="326"/>
      <c r="E30" s="773" t="s">
        <v>26</v>
      </c>
      <c r="F30" s="774"/>
      <c r="G30" s="774"/>
      <c r="H30" s="774"/>
      <c r="I30" s="774"/>
      <c r="J30" s="774"/>
      <c r="K30" s="774"/>
      <c r="L30" s="775"/>
      <c r="M30" s="771">
        <v>1</v>
      </c>
    </row>
    <row r="31" spans="1:13" ht="18" thickBot="1" x14ac:dyDescent="0.35">
      <c r="A31" s="327"/>
      <c r="B31" s="254"/>
      <c r="C31" s="254"/>
      <c r="D31" s="328"/>
      <c r="E31" s="776"/>
      <c r="F31" s="777"/>
      <c r="G31" s="777"/>
      <c r="H31" s="777"/>
      <c r="I31" s="777"/>
      <c r="J31" s="777"/>
      <c r="K31" s="777"/>
      <c r="L31" s="778"/>
      <c r="M31" s="772"/>
    </row>
    <row r="32" spans="1:13" ht="13.5" thickTop="1" x14ac:dyDescent="0.2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</row>
    <row r="33" spans="1:13" x14ac:dyDescent="0.2">
      <c r="A33" s="62"/>
      <c r="B33" s="59"/>
      <c r="C33" s="59"/>
      <c r="D33" s="59"/>
      <c r="E33" s="59"/>
      <c r="F33" s="59"/>
      <c r="G33" s="59"/>
      <c r="H33" s="59"/>
      <c r="I33" s="59"/>
      <c r="J33" s="59"/>
      <c r="K33" s="59"/>
      <c r="L33" s="59"/>
      <c r="M33" s="59"/>
    </row>
    <row r="34" spans="1:13" x14ac:dyDescent="0.2">
      <c r="A34" s="145"/>
      <c r="B34" s="145"/>
      <c r="C34" s="146"/>
      <c r="D34" s="146"/>
      <c r="E34" s="146"/>
      <c r="F34" s="146"/>
      <c r="G34" s="147"/>
      <c r="H34" s="147"/>
      <c r="I34" s="147"/>
      <c r="J34" s="147"/>
      <c r="K34" s="147"/>
      <c r="L34" s="147"/>
      <c r="M34" s="147"/>
    </row>
    <row r="35" spans="1:13" x14ac:dyDescent="0.2">
      <c r="A35" s="145"/>
      <c r="B35" s="145"/>
      <c r="C35" s="146"/>
      <c r="D35" s="146"/>
      <c r="E35" s="146"/>
      <c r="F35" s="146"/>
      <c r="G35" s="147"/>
      <c r="H35" s="147"/>
      <c r="I35" s="147"/>
      <c r="J35" s="147"/>
      <c r="K35" s="147"/>
      <c r="L35" s="147"/>
      <c r="M35" s="147"/>
    </row>
    <row r="36" spans="1:13" x14ac:dyDescent="0.2">
      <c r="A36" s="145"/>
      <c r="B36" s="145"/>
      <c r="C36" s="146"/>
      <c r="D36" s="146"/>
      <c r="E36" s="146"/>
      <c r="F36" s="146"/>
      <c r="G36" s="147"/>
      <c r="H36" s="147"/>
      <c r="I36" s="147"/>
      <c r="J36" s="147"/>
      <c r="K36" s="147"/>
      <c r="L36" s="147"/>
      <c r="M36" s="147"/>
    </row>
    <row r="37" spans="1:13" x14ac:dyDescent="0.2">
      <c r="A37" s="145"/>
      <c r="B37" s="145"/>
      <c r="C37" s="146"/>
      <c r="D37" s="146"/>
      <c r="E37" s="146"/>
      <c r="F37" s="146"/>
      <c r="G37" s="145"/>
      <c r="H37" s="145"/>
      <c r="I37" s="145"/>
      <c r="J37" s="145"/>
      <c r="K37" s="145"/>
      <c r="L37" s="145"/>
      <c r="M37" s="145"/>
    </row>
    <row r="38" spans="1:13" x14ac:dyDescent="0.2">
      <c r="A38" s="145"/>
      <c r="B38" s="147"/>
      <c r="C38" s="147"/>
      <c r="D38" s="147"/>
      <c r="E38" s="147"/>
      <c r="F38" s="147"/>
      <c r="G38" s="147"/>
      <c r="H38" s="147"/>
      <c r="I38" s="147"/>
      <c r="J38" s="147"/>
      <c r="K38" s="147"/>
      <c r="L38" s="147"/>
      <c r="M38" s="147"/>
    </row>
    <row r="39" spans="1:13" x14ac:dyDescent="0.2">
      <c r="A39" s="145"/>
      <c r="B39" s="147"/>
      <c r="C39" s="147"/>
      <c r="D39" s="147"/>
      <c r="E39" s="147"/>
      <c r="F39" s="147"/>
      <c r="G39" s="147"/>
      <c r="H39" s="147"/>
      <c r="I39" s="147"/>
      <c r="J39" s="147"/>
      <c r="K39" s="147"/>
      <c r="L39" s="147"/>
      <c r="M39" s="147"/>
    </row>
    <row r="40" spans="1:13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</row>
  </sheetData>
  <sheetProtection selectLockedCells="1"/>
  <mergeCells count="12">
    <mergeCell ref="B2:L2"/>
    <mergeCell ref="B4:L4"/>
    <mergeCell ref="A24:M24"/>
    <mergeCell ref="A25:D25"/>
    <mergeCell ref="E25:L25"/>
    <mergeCell ref="M30:M31"/>
    <mergeCell ref="E30:L31"/>
    <mergeCell ref="A26:D26"/>
    <mergeCell ref="E26:L27"/>
    <mergeCell ref="M26:M27"/>
    <mergeCell ref="E28:L29"/>
    <mergeCell ref="M28:M29"/>
  </mergeCells>
  <printOptions horizontalCentered="1" verticalCentered="1"/>
  <pageMargins left="0.25" right="0.25" top="0.75" bottom="0.75" header="0.3" footer="0.3"/>
  <pageSetup scale="92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133"/>
  <sheetViews>
    <sheetView zoomScaleNormal="100" workbookViewId="0">
      <selection activeCell="B17" sqref="B17:W17"/>
    </sheetView>
  </sheetViews>
  <sheetFormatPr defaultRowHeight="12.75" x14ac:dyDescent="0.2"/>
  <cols>
    <col min="1" max="1" width="2.28515625" customWidth="1"/>
    <col min="2" max="2" width="7.85546875" customWidth="1"/>
    <col min="3" max="3" width="7.85546875" style="8" customWidth="1"/>
    <col min="4" max="4" width="9.5703125" style="8" customWidth="1"/>
    <col min="5" max="5" width="2.85546875" style="8" customWidth="1"/>
    <col min="6" max="6" width="5.85546875" style="2" customWidth="1"/>
    <col min="7" max="7" width="6.85546875" style="11" customWidth="1"/>
    <col min="8" max="8" width="4.7109375" customWidth="1"/>
    <col min="9" max="9" width="6.28515625" style="2" customWidth="1"/>
    <col min="10" max="10" width="19.28515625" style="6" customWidth="1"/>
    <col min="11" max="11" width="5.85546875" style="2" customWidth="1"/>
    <col min="12" max="12" width="9" style="9" customWidth="1"/>
    <col min="13" max="13" width="6" style="6" customWidth="1"/>
    <col min="14" max="14" width="4.85546875" style="2" customWidth="1"/>
    <col min="15" max="15" width="6.85546875" style="7" customWidth="1"/>
    <col min="16" max="16" width="7.85546875" style="6" customWidth="1"/>
    <col min="17" max="17" width="4.5703125" style="2" customWidth="1"/>
    <col min="18" max="18" width="14.85546875" style="6" customWidth="1"/>
    <col min="19" max="19" width="4.140625" customWidth="1"/>
    <col min="20" max="20" width="8.28515625" style="10" customWidth="1"/>
    <col min="21" max="21" width="5" customWidth="1"/>
    <col min="22" max="22" width="5.7109375" customWidth="1"/>
    <col min="23" max="23" width="8" customWidth="1"/>
    <col min="24" max="24" width="2.28515625" customWidth="1"/>
  </cols>
  <sheetData>
    <row r="1" spans="1:26" ht="18.75" thickTop="1" thickBot="1" x14ac:dyDescent="0.35">
      <c r="A1" s="502"/>
      <c r="B1" s="189"/>
      <c r="C1" s="189"/>
      <c r="D1" s="189"/>
      <c r="E1" s="189"/>
      <c r="F1" s="189"/>
      <c r="G1" s="503"/>
      <c r="H1" s="189"/>
      <c r="I1" s="189"/>
      <c r="J1" s="189"/>
      <c r="K1" s="189"/>
      <c r="L1" s="189"/>
      <c r="M1" s="189"/>
      <c r="N1" s="189"/>
      <c r="O1" s="189"/>
      <c r="P1" s="189"/>
      <c r="Q1" s="189"/>
      <c r="R1" s="189"/>
      <c r="S1" s="189"/>
      <c r="T1" s="504"/>
      <c r="U1" s="189"/>
      <c r="V1" s="189"/>
      <c r="W1" s="189"/>
      <c r="X1" s="505"/>
    </row>
    <row r="2" spans="1:26" ht="32.25" thickTop="1" thickBot="1" x14ac:dyDescent="0.6">
      <c r="A2" s="74"/>
      <c r="B2" s="177"/>
      <c r="C2" s="753" t="str">
        <f>Input!B7</f>
        <v>55555, 55556, 55557</v>
      </c>
      <c r="D2" s="754"/>
      <c r="E2" s="754"/>
      <c r="F2" s="754"/>
      <c r="G2" s="754"/>
      <c r="H2" s="754"/>
      <c r="I2" s="754"/>
      <c r="J2" s="754"/>
      <c r="K2" s="754"/>
      <c r="L2" s="754"/>
      <c r="M2" s="754"/>
      <c r="N2" s="754"/>
      <c r="O2" s="754"/>
      <c r="P2" s="754"/>
      <c r="Q2" s="754"/>
      <c r="R2" s="754"/>
      <c r="S2" s="754"/>
      <c r="T2" s="754"/>
      <c r="U2" s="754"/>
      <c r="V2" s="755"/>
      <c r="W2" s="177"/>
      <c r="X2" s="48"/>
    </row>
    <row r="3" spans="1:26" ht="18.75" thickTop="1" thickBot="1" x14ac:dyDescent="0.35">
      <c r="A3" s="74"/>
      <c r="B3" s="177"/>
      <c r="C3" s="177"/>
      <c r="D3" s="177"/>
      <c r="E3" s="177"/>
      <c r="F3" s="177"/>
      <c r="G3" s="293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294"/>
      <c r="U3" s="177"/>
      <c r="V3" s="177"/>
      <c r="W3" s="177"/>
      <c r="X3" s="48"/>
    </row>
    <row r="4" spans="1:26" ht="32.25" thickTop="1" thickBot="1" x14ac:dyDescent="0.6">
      <c r="A4" s="74"/>
      <c r="B4" s="177"/>
      <c r="C4" s="753" t="s">
        <v>157</v>
      </c>
      <c r="D4" s="754"/>
      <c r="E4" s="754"/>
      <c r="F4" s="754"/>
      <c r="G4" s="754"/>
      <c r="H4" s="754"/>
      <c r="I4" s="754"/>
      <c r="J4" s="754"/>
      <c r="K4" s="754"/>
      <c r="L4" s="754"/>
      <c r="M4" s="754"/>
      <c r="N4" s="754"/>
      <c r="O4" s="754"/>
      <c r="P4" s="754"/>
      <c r="Q4" s="754"/>
      <c r="R4" s="754"/>
      <c r="S4" s="754"/>
      <c r="T4" s="754"/>
      <c r="U4" s="754"/>
      <c r="V4" s="755"/>
      <c r="W4" s="177"/>
      <c r="X4" s="48"/>
    </row>
    <row r="5" spans="1:26" ht="18.75" thickTop="1" thickBot="1" x14ac:dyDescent="0.35">
      <c r="A5" s="506"/>
      <c r="B5" s="295"/>
      <c r="C5" s="254"/>
      <c r="D5" s="254"/>
      <c r="E5" s="254"/>
      <c r="F5" s="254"/>
      <c r="G5" s="507"/>
      <c r="H5" s="254"/>
      <c r="I5" s="254"/>
      <c r="J5" s="254"/>
      <c r="K5" s="254"/>
      <c r="L5" s="339"/>
      <c r="M5" s="254"/>
      <c r="N5" s="254"/>
      <c r="O5" s="339"/>
      <c r="P5" s="254"/>
      <c r="Q5" s="254"/>
      <c r="R5" s="254"/>
      <c r="S5" s="254"/>
      <c r="T5" s="508"/>
      <c r="U5" s="254"/>
      <c r="V5" s="254"/>
      <c r="W5" s="254"/>
      <c r="X5" s="509"/>
      <c r="Y5" s="23"/>
    </row>
    <row r="6" spans="1:26" s="1" customFormat="1" ht="18.75" thickTop="1" thickBot="1" x14ac:dyDescent="0.35">
      <c r="A6" s="73"/>
      <c r="B6" s="295"/>
      <c r="C6" s="177"/>
      <c r="D6" s="177"/>
      <c r="E6" s="177"/>
      <c r="F6" s="177"/>
      <c r="G6" s="293"/>
      <c r="H6" s="177"/>
      <c r="I6" s="177"/>
      <c r="J6" s="177"/>
      <c r="K6" s="177"/>
      <c r="L6" s="196"/>
      <c r="M6" s="177"/>
      <c r="N6" s="177"/>
      <c r="O6" s="196"/>
      <c r="P6" s="177"/>
      <c r="Q6" s="177"/>
      <c r="R6" s="177"/>
      <c r="S6" s="177"/>
      <c r="T6" s="294"/>
      <c r="U6" s="177"/>
      <c r="V6" s="177"/>
      <c r="W6" s="177"/>
      <c r="X6" s="44"/>
    </row>
    <row r="7" spans="1:26" s="1" customFormat="1" ht="18" thickTop="1" x14ac:dyDescent="0.3">
      <c r="A7" s="502"/>
      <c r="B7" s="510" t="s">
        <v>183</v>
      </c>
      <c r="C7" s="189"/>
      <c r="D7" s="189"/>
      <c r="E7" s="189"/>
      <c r="F7" s="189"/>
      <c r="G7" s="503"/>
      <c r="H7" s="189"/>
      <c r="I7" s="189"/>
      <c r="J7" s="189"/>
      <c r="K7" s="189"/>
      <c r="L7" s="233"/>
      <c r="M7" s="189"/>
      <c r="N7" s="189"/>
      <c r="O7" s="233"/>
      <c r="P7" s="189"/>
      <c r="Q7" s="189"/>
      <c r="R7" s="189"/>
      <c r="S7" s="189"/>
      <c r="T7" s="504"/>
      <c r="U7" s="189"/>
      <c r="V7" s="189"/>
      <c r="W7" s="189"/>
      <c r="X7" s="505"/>
      <c r="Y7" s="26"/>
    </row>
    <row r="8" spans="1:26" s="1" customFormat="1" ht="9.9499999999999993" customHeight="1" thickBot="1" x14ac:dyDescent="0.35">
      <c r="A8" s="74"/>
      <c r="B8" s="402"/>
      <c r="C8" s="177"/>
      <c r="D8" s="177"/>
      <c r="E8" s="177"/>
      <c r="F8" s="177"/>
      <c r="G8" s="293"/>
      <c r="H8" s="177"/>
      <c r="I8" s="177"/>
      <c r="J8" s="177"/>
      <c r="K8" s="177"/>
      <c r="L8" s="196"/>
      <c r="M8" s="177"/>
      <c r="N8" s="177"/>
      <c r="O8" s="196"/>
      <c r="P8" s="177"/>
      <c r="Q8" s="177"/>
      <c r="R8" s="177"/>
      <c r="S8" s="177"/>
      <c r="T8" s="294"/>
      <c r="U8" s="177"/>
      <c r="V8" s="177"/>
      <c r="W8" s="177"/>
      <c r="X8" s="48"/>
      <c r="Y8" s="26"/>
      <c r="Z8" s="26"/>
    </row>
    <row r="9" spans="1:26" s="1" customFormat="1" ht="18" thickBot="1" x14ac:dyDescent="0.35">
      <c r="A9" s="74"/>
      <c r="B9" s="292"/>
      <c r="C9" s="511">
        <f>'RICE Input'!C8</f>
        <v>100</v>
      </c>
      <c r="D9" s="285" t="s">
        <v>58</v>
      </c>
      <c r="E9" s="196"/>
      <c r="F9" s="215">
        <f>'RICE Input'!C12</f>
        <v>0.9</v>
      </c>
      <c r="G9" s="184" t="s">
        <v>153</v>
      </c>
      <c r="H9" s="491"/>
      <c r="I9" s="296">
        <f>'RICE Input'!C13</f>
        <v>0.75</v>
      </c>
      <c r="J9" s="184" t="s">
        <v>154</v>
      </c>
      <c r="K9" s="215">
        <f>'RICE Input'!C14</f>
        <v>0.7</v>
      </c>
      <c r="L9" s="184" t="s">
        <v>155</v>
      </c>
      <c r="M9" s="177"/>
      <c r="N9" s="177"/>
      <c r="O9" s="196"/>
      <c r="P9" s="512"/>
      <c r="Q9" s="779"/>
      <c r="R9" s="779"/>
      <c r="S9" s="779"/>
      <c r="T9" s="779"/>
      <c r="U9" s="177"/>
      <c r="V9" s="177"/>
      <c r="W9" s="177"/>
      <c r="X9" s="48"/>
    </row>
    <row r="10" spans="1:26" s="1" customFormat="1" ht="9.9499999999999993" customHeight="1" thickBot="1" x14ac:dyDescent="0.35">
      <c r="A10" s="74"/>
      <c r="B10" s="292"/>
      <c r="C10" s="431"/>
      <c r="D10" s="431"/>
      <c r="E10" s="431"/>
      <c r="F10" s="513">
        <f>100%-F9</f>
        <v>9.9999999999999978E-2</v>
      </c>
      <c r="G10" s="431"/>
      <c r="H10" s="202"/>
      <c r="I10" s="514">
        <f>100%-I9</f>
        <v>0.25</v>
      </c>
      <c r="J10" s="202"/>
      <c r="K10" s="515">
        <f>100%-K9</f>
        <v>0.30000000000000004</v>
      </c>
      <c r="L10" s="202"/>
      <c r="M10" s="177"/>
      <c r="N10" s="177"/>
      <c r="O10" s="196"/>
      <c r="P10" s="516"/>
      <c r="Q10" s="729"/>
      <c r="R10" s="729"/>
      <c r="S10" s="729"/>
      <c r="T10" s="729"/>
      <c r="U10" s="729"/>
      <c r="V10" s="729"/>
      <c r="W10" s="177"/>
      <c r="X10" s="48"/>
    </row>
    <row r="11" spans="1:26" s="3" customFormat="1" ht="18" thickBot="1" x14ac:dyDescent="0.35">
      <c r="A11" s="517"/>
      <c r="B11" s="521" t="s">
        <v>52</v>
      </c>
      <c r="C11" s="279">
        <f>'RICE Input'!C9</f>
        <v>10</v>
      </c>
      <c r="D11" s="297" t="s">
        <v>54</v>
      </c>
      <c r="E11" s="759" t="s">
        <v>2</v>
      </c>
      <c r="F11" s="795"/>
      <c r="G11" s="522">
        <f>C9</f>
        <v>100</v>
      </c>
      <c r="H11" s="204" t="s">
        <v>55</v>
      </c>
      <c r="I11" s="196" t="s">
        <v>2</v>
      </c>
      <c r="J11" s="298" t="s">
        <v>156</v>
      </c>
      <c r="K11" s="196" t="s">
        <v>0</v>
      </c>
      <c r="L11" s="279">
        <f>C11*G11/453.6</f>
        <v>2.204585537918871</v>
      </c>
      <c r="M11" s="331" t="s">
        <v>1</v>
      </c>
      <c r="N11" s="435" t="s">
        <v>2</v>
      </c>
      <c r="O11" s="523" t="str">
        <f>'RICE Input'!C7</f>
        <v>0</v>
      </c>
      <c r="P11" s="331" t="s">
        <v>37</v>
      </c>
      <c r="Q11" s="436" t="s">
        <v>2</v>
      </c>
      <c r="R11" s="278" t="s">
        <v>56</v>
      </c>
      <c r="S11" s="196" t="s">
        <v>0</v>
      </c>
      <c r="T11" s="524">
        <f>(L11*O11/2000)*F10</f>
        <v>0</v>
      </c>
      <c r="U11" s="204" t="s">
        <v>220</v>
      </c>
      <c r="V11" s="242"/>
      <c r="W11" s="177"/>
      <c r="X11" s="45"/>
    </row>
    <row r="12" spans="1:26" s="3" customFormat="1" ht="9.9499999999999993" customHeight="1" thickBot="1" x14ac:dyDescent="0.35">
      <c r="A12" s="517"/>
      <c r="B12" s="292"/>
      <c r="C12" s="525"/>
      <c r="D12" s="525"/>
      <c r="E12" s="525"/>
      <c r="F12" s="196"/>
      <c r="G12" s="518"/>
      <c r="H12" s="216"/>
      <c r="I12" s="196"/>
      <c r="J12" s="202"/>
      <c r="K12" s="196"/>
      <c r="L12" s="519"/>
      <c r="M12" s="520"/>
      <c r="N12" s="196"/>
      <c r="O12" s="526"/>
      <c r="P12" s="202"/>
      <c r="Q12" s="196"/>
      <c r="R12" s="196"/>
      <c r="S12" s="196"/>
      <c r="T12" s="527"/>
      <c r="U12" s="216"/>
      <c r="V12" s="216"/>
      <c r="W12" s="177"/>
      <c r="X12" s="45"/>
    </row>
    <row r="13" spans="1:26" s="3" customFormat="1" ht="18" thickBot="1" x14ac:dyDescent="0.35">
      <c r="A13" s="517"/>
      <c r="B13" s="521" t="s">
        <v>38</v>
      </c>
      <c r="C13" s="279">
        <f>'RICE Input'!C10</f>
        <v>5</v>
      </c>
      <c r="D13" s="299" t="s">
        <v>54</v>
      </c>
      <c r="E13" s="759" t="s">
        <v>2</v>
      </c>
      <c r="F13" s="795"/>
      <c r="G13" s="522">
        <f>C9</f>
        <v>100</v>
      </c>
      <c r="H13" s="204" t="s">
        <v>55</v>
      </c>
      <c r="I13" s="196" t="s">
        <v>2</v>
      </c>
      <c r="J13" s="298" t="s">
        <v>156</v>
      </c>
      <c r="K13" s="196" t="s">
        <v>0</v>
      </c>
      <c r="L13" s="279">
        <f>C13*G13/453.6</f>
        <v>1.1022927689594355</v>
      </c>
      <c r="M13" s="300" t="s">
        <v>1</v>
      </c>
      <c r="N13" s="435" t="s">
        <v>2</v>
      </c>
      <c r="O13" s="523" t="str">
        <f>O11</f>
        <v>0</v>
      </c>
      <c r="P13" s="300" t="s">
        <v>37</v>
      </c>
      <c r="Q13" s="436" t="s">
        <v>2</v>
      </c>
      <c r="R13" s="301" t="s">
        <v>56</v>
      </c>
      <c r="S13" s="196" t="s">
        <v>0</v>
      </c>
      <c r="T13" s="524">
        <f>(L13*O13/2000)*I10</f>
        <v>0</v>
      </c>
      <c r="U13" s="216" t="s">
        <v>219</v>
      </c>
      <c r="V13" s="204"/>
      <c r="W13" s="177"/>
      <c r="X13" s="45"/>
    </row>
    <row r="14" spans="1:26" s="3" customFormat="1" ht="9.9499999999999993" customHeight="1" thickBot="1" x14ac:dyDescent="0.35">
      <c r="A14" s="517"/>
      <c r="B14" s="177"/>
      <c r="C14" s="525"/>
      <c r="D14" s="525"/>
      <c r="E14" s="525"/>
      <c r="F14" s="196"/>
      <c r="G14" s="518"/>
      <c r="H14" s="177"/>
      <c r="I14" s="196"/>
      <c r="J14" s="202"/>
      <c r="K14" s="196"/>
      <c r="L14" s="519"/>
      <c r="M14" s="202"/>
      <c r="N14" s="196"/>
      <c r="O14" s="526"/>
      <c r="P14" s="202"/>
      <c r="Q14" s="196"/>
      <c r="R14" s="196"/>
      <c r="S14" s="196"/>
      <c r="T14" s="527"/>
      <c r="U14" s="177"/>
      <c r="V14" s="216"/>
      <c r="W14" s="177"/>
      <c r="X14" s="45"/>
    </row>
    <row r="15" spans="1:26" s="3" customFormat="1" ht="18" thickBot="1" x14ac:dyDescent="0.35">
      <c r="A15" s="517"/>
      <c r="B15" s="521" t="s">
        <v>45</v>
      </c>
      <c r="C15" s="279">
        <f>'RICE Input'!C11</f>
        <v>4</v>
      </c>
      <c r="D15" s="299" t="s">
        <v>54</v>
      </c>
      <c r="E15" s="759" t="s">
        <v>2</v>
      </c>
      <c r="F15" s="795"/>
      <c r="G15" s="522">
        <f>C9</f>
        <v>100</v>
      </c>
      <c r="H15" s="205" t="s">
        <v>55</v>
      </c>
      <c r="I15" s="436" t="s">
        <v>2</v>
      </c>
      <c r="J15" s="298" t="s">
        <v>156</v>
      </c>
      <c r="K15" s="196" t="s">
        <v>0</v>
      </c>
      <c r="L15" s="275">
        <f>C15*G15/453.6</f>
        <v>0.88183421516754845</v>
      </c>
      <c r="M15" s="300" t="s">
        <v>1</v>
      </c>
      <c r="N15" s="435" t="s">
        <v>2</v>
      </c>
      <c r="O15" s="528" t="str">
        <f>O11</f>
        <v>0</v>
      </c>
      <c r="P15" s="300" t="s">
        <v>37</v>
      </c>
      <c r="Q15" s="436" t="s">
        <v>2</v>
      </c>
      <c r="R15" s="278" t="s">
        <v>56</v>
      </c>
      <c r="S15" s="196" t="s">
        <v>0</v>
      </c>
      <c r="T15" s="524">
        <f>(L15*O15/2000)*K10</f>
        <v>0</v>
      </c>
      <c r="U15" s="205" t="s">
        <v>221</v>
      </c>
      <c r="V15" s="205"/>
      <c r="W15" s="207"/>
      <c r="X15" s="45"/>
    </row>
    <row r="16" spans="1:26" s="3" customFormat="1" ht="9.9499999999999993" customHeight="1" thickBot="1" x14ac:dyDescent="0.35">
      <c r="A16" s="529"/>
      <c r="B16" s="254"/>
      <c r="C16" s="254"/>
      <c r="D16" s="254"/>
      <c r="E16" s="254"/>
      <c r="F16" s="254"/>
      <c r="G16" s="507"/>
      <c r="H16" s="254"/>
      <c r="I16" s="254"/>
      <c r="J16" s="441"/>
      <c r="K16" s="254"/>
      <c r="L16" s="446"/>
      <c r="M16" s="339"/>
      <c r="N16" s="339"/>
      <c r="O16" s="530"/>
      <c r="P16" s="339"/>
      <c r="Q16" s="339"/>
      <c r="R16" s="254"/>
      <c r="S16" s="254"/>
      <c r="T16" s="446"/>
      <c r="U16" s="254"/>
      <c r="V16" s="254"/>
      <c r="W16" s="254"/>
      <c r="X16" s="531"/>
      <c r="Y16" s="42"/>
    </row>
    <row r="17" spans="1:26" s="3" customFormat="1" ht="9.9499999999999993" customHeight="1" thickTop="1" thickBot="1" x14ac:dyDescent="0.35">
      <c r="A17" s="72"/>
      <c r="B17" s="797"/>
      <c r="C17" s="797"/>
      <c r="D17" s="797"/>
      <c r="E17" s="797"/>
      <c r="F17" s="797"/>
      <c r="G17" s="797"/>
      <c r="H17" s="797"/>
      <c r="I17" s="797"/>
      <c r="J17" s="797"/>
      <c r="K17" s="797"/>
      <c r="L17" s="797"/>
      <c r="M17" s="797"/>
      <c r="N17" s="797"/>
      <c r="O17" s="797"/>
      <c r="P17" s="797"/>
      <c r="Q17" s="797"/>
      <c r="R17" s="797"/>
      <c r="S17" s="797"/>
      <c r="T17" s="797"/>
      <c r="U17" s="797"/>
      <c r="V17" s="797"/>
      <c r="W17" s="797"/>
      <c r="X17" s="143"/>
      <c r="Y17" s="42"/>
    </row>
    <row r="18" spans="1:26" s="3" customFormat="1" ht="18" thickTop="1" x14ac:dyDescent="0.3">
      <c r="A18" s="532"/>
      <c r="B18" s="796" t="s">
        <v>184</v>
      </c>
      <c r="C18" s="796"/>
      <c r="D18" s="191"/>
      <c r="E18" s="191"/>
      <c r="F18" s="191"/>
      <c r="G18" s="191"/>
      <c r="H18" s="191"/>
      <c r="I18" s="191"/>
      <c r="J18" s="191"/>
      <c r="K18" s="191"/>
      <c r="L18" s="191"/>
      <c r="M18" s="191"/>
      <c r="N18" s="191"/>
      <c r="O18" s="191"/>
      <c r="P18" s="533"/>
      <c r="Q18" s="233"/>
      <c r="R18" s="534"/>
      <c r="S18" s="233"/>
      <c r="T18" s="400"/>
      <c r="U18" s="189"/>
      <c r="V18" s="189"/>
      <c r="W18" s="189"/>
      <c r="X18" s="535"/>
      <c r="Y18" s="42"/>
    </row>
    <row r="19" spans="1:26" s="3" customFormat="1" ht="9.9499999999999993" customHeight="1" thickBot="1" x14ac:dyDescent="0.35">
      <c r="A19" s="517"/>
      <c r="B19" s="202"/>
      <c r="C19" s="520"/>
      <c r="D19" s="181"/>
      <c r="E19" s="181"/>
      <c r="F19" s="181"/>
      <c r="G19" s="181"/>
      <c r="H19" s="181"/>
      <c r="I19" s="181"/>
      <c r="J19" s="181"/>
      <c r="K19" s="181"/>
      <c r="L19" s="181"/>
      <c r="M19" s="181"/>
      <c r="N19" s="181"/>
      <c r="O19" s="181"/>
      <c r="P19" s="536"/>
      <c r="Q19" s="196"/>
      <c r="R19" s="257"/>
      <c r="S19" s="196"/>
      <c r="T19" s="257"/>
      <c r="U19" s="177"/>
      <c r="V19" s="177"/>
      <c r="W19" s="177"/>
      <c r="X19" s="45"/>
      <c r="Y19" s="33"/>
    </row>
    <row r="20" spans="1:26" s="3" customFormat="1" ht="18" thickBot="1" x14ac:dyDescent="0.35">
      <c r="A20" s="517"/>
      <c r="B20" s="202"/>
      <c r="C20" s="537">
        <f>'RICE Input'!C18</f>
        <v>100</v>
      </c>
      <c r="D20" s="184" t="s">
        <v>58</v>
      </c>
      <c r="E20" s="184"/>
      <c r="F20" s="215">
        <f>'RICE Input'!C22</f>
        <v>0.9</v>
      </c>
      <c r="G20" s="798" t="s">
        <v>153</v>
      </c>
      <c r="H20" s="798"/>
      <c r="I20" s="538">
        <f>'RICE Input'!C23</f>
        <v>0.75</v>
      </c>
      <c r="J20" s="539" t="s">
        <v>154</v>
      </c>
      <c r="K20" s="206">
        <f>'RICE Input'!C24</f>
        <v>0.7</v>
      </c>
      <c r="L20" s="540" t="s">
        <v>155</v>
      </c>
      <c r="M20" s="181"/>
      <c r="N20" s="181"/>
      <c r="O20" s="181"/>
      <c r="P20" s="536"/>
      <c r="Q20" s="196"/>
      <c r="R20" s="257"/>
      <c r="S20" s="196"/>
      <c r="T20" s="257"/>
      <c r="U20" s="177"/>
      <c r="V20" s="177"/>
      <c r="W20" s="177"/>
      <c r="X20" s="45"/>
      <c r="Y20" s="33"/>
    </row>
    <row r="21" spans="1:26" s="1" customFormat="1" ht="9.9499999999999993" customHeight="1" thickBot="1" x14ac:dyDescent="0.35">
      <c r="A21" s="74"/>
      <c r="B21" s="292"/>
      <c r="C21" s="431"/>
      <c r="D21" s="431"/>
      <c r="E21" s="431"/>
      <c r="F21" s="513">
        <f>100%-F20</f>
        <v>9.9999999999999978E-2</v>
      </c>
      <c r="G21" s="431"/>
      <c r="H21" s="202"/>
      <c r="I21" s="514">
        <f>100%-I20</f>
        <v>0.25</v>
      </c>
      <c r="J21" s="202"/>
      <c r="K21" s="515">
        <f>100%-K20</f>
        <v>0.30000000000000004</v>
      </c>
      <c r="L21" s="202"/>
      <c r="M21" s="177"/>
      <c r="N21" s="177"/>
      <c r="O21" s="196"/>
      <c r="P21" s="516"/>
      <c r="Q21" s="729"/>
      <c r="R21" s="729"/>
      <c r="S21" s="729"/>
      <c r="T21" s="729"/>
      <c r="U21" s="729"/>
      <c r="V21" s="729"/>
      <c r="W21" s="177"/>
      <c r="X21" s="48"/>
    </row>
    <row r="22" spans="1:26" s="3" customFormat="1" ht="18" thickBot="1" x14ac:dyDescent="0.35">
      <c r="A22" s="517"/>
      <c r="B22" s="521" t="s">
        <v>52</v>
      </c>
      <c r="C22" s="279">
        <f>'RICE Input'!C19</f>
        <v>10</v>
      </c>
      <c r="D22" s="297" t="s">
        <v>54</v>
      </c>
      <c r="E22" s="759" t="s">
        <v>2</v>
      </c>
      <c r="F22" s="795"/>
      <c r="G22" s="522">
        <f>C20</f>
        <v>100</v>
      </c>
      <c r="H22" s="204" t="s">
        <v>55</v>
      </c>
      <c r="I22" s="196" t="s">
        <v>2</v>
      </c>
      <c r="J22" s="298" t="s">
        <v>156</v>
      </c>
      <c r="K22" s="196" t="s">
        <v>0</v>
      </c>
      <c r="L22" s="279">
        <f>C22*G22/453.6</f>
        <v>2.204585537918871</v>
      </c>
      <c r="M22" s="331" t="s">
        <v>1</v>
      </c>
      <c r="N22" s="435" t="s">
        <v>2</v>
      </c>
      <c r="O22" s="523" t="str">
        <f>'RICE Input'!C17</f>
        <v>0</v>
      </c>
      <c r="P22" s="331" t="s">
        <v>37</v>
      </c>
      <c r="Q22" s="436" t="s">
        <v>2</v>
      </c>
      <c r="R22" s="278" t="s">
        <v>56</v>
      </c>
      <c r="S22" s="196" t="s">
        <v>0</v>
      </c>
      <c r="T22" s="524">
        <f>(L22*O22/2000)*F21</f>
        <v>0</v>
      </c>
      <c r="U22" s="204" t="s">
        <v>220</v>
      </c>
      <c r="V22" s="242"/>
      <c r="W22" s="177"/>
      <c r="X22" s="45"/>
    </row>
    <row r="23" spans="1:26" s="3" customFormat="1" ht="9.9499999999999993" customHeight="1" thickBot="1" x14ac:dyDescent="0.35">
      <c r="A23" s="517"/>
      <c r="B23" s="177"/>
      <c r="C23" s="541"/>
      <c r="D23" s="541"/>
      <c r="E23" s="541"/>
      <c r="F23" s="196"/>
      <c r="G23" s="516"/>
      <c r="H23" s="243"/>
      <c r="I23" s="196"/>
      <c r="J23" s="202"/>
      <c r="K23" s="196"/>
      <c r="L23" s="542"/>
      <c r="M23" s="543"/>
      <c r="N23" s="196"/>
      <c r="O23" s="304"/>
      <c r="P23" s="543"/>
      <c r="Q23" s="196"/>
      <c r="R23" s="196"/>
      <c r="S23" s="196"/>
      <c r="T23" s="243"/>
      <c r="U23" s="177"/>
      <c r="V23" s="243"/>
      <c r="W23" s="177"/>
      <c r="X23" s="45"/>
      <c r="Z23" s="42"/>
    </row>
    <row r="24" spans="1:26" s="3" customFormat="1" ht="18" thickBot="1" x14ac:dyDescent="0.35">
      <c r="A24" s="517"/>
      <c r="B24" s="521" t="s">
        <v>38</v>
      </c>
      <c r="C24" s="279">
        <f>'RICE Input'!C20</f>
        <v>5</v>
      </c>
      <c r="D24" s="299" t="s">
        <v>54</v>
      </c>
      <c r="E24" s="759" t="s">
        <v>2</v>
      </c>
      <c r="F24" s="795"/>
      <c r="G24" s="522">
        <f>C20</f>
        <v>100</v>
      </c>
      <c r="H24" s="204" t="s">
        <v>55</v>
      </c>
      <c r="I24" s="196" t="s">
        <v>2</v>
      </c>
      <c r="J24" s="298" t="s">
        <v>156</v>
      </c>
      <c r="K24" s="196" t="s">
        <v>0</v>
      </c>
      <c r="L24" s="279">
        <f>C24*G24/453.6</f>
        <v>1.1022927689594355</v>
      </c>
      <c r="M24" s="300" t="s">
        <v>1</v>
      </c>
      <c r="N24" s="435" t="s">
        <v>2</v>
      </c>
      <c r="O24" s="523" t="str">
        <f>O22</f>
        <v>0</v>
      </c>
      <c r="P24" s="300" t="s">
        <v>37</v>
      </c>
      <c r="Q24" s="436" t="s">
        <v>2</v>
      </c>
      <c r="R24" s="301" t="s">
        <v>56</v>
      </c>
      <c r="S24" s="196" t="s">
        <v>0</v>
      </c>
      <c r="T24" s="524">
        <f>(L24*O24/2000)*I21</f>
        <v>0</v>
      </c>
      <c r="U24" s="245" t="s">
        <v>219</v>
      </c>
      <c r="V24" s="204"/>
      <c r="W24" s="177"/>
      <c r="X24" s="45"/>
    </row>
    <row r="25" spans="1:26" s="3" customFormat="1" ht="9.9499999999999993" customHeight="1" thickBot="1" x14ac:dyDescent="0.35">
      <c r="A25" s="517"/>
      <c r="B25" s="521"/>
      <c r="C25" s="544"/>
      <c r="D25" s="544"/>
      <c r="E25" s="544"/>
      <c r="F25" s="196"/>
      <c r="G25" s="545"/>
      <c r="H25" s="177"/>
      <c r="I25" s="196"/>
      <c r="J25" s="202"/>
      <c r="K25" s="196"/>
      <c r="L25" s="542"/>
      <c r="M25" s="202"/>
      <c r="N25" s="196"/>
      <c r="O25" s="304"/>
      <c r="P25" s="202"/>
      <c r="Q25" s="196"/>
      <c r="R25" s="546"/>
      <c r="S25" s="196"/>
      <c r="T25" s="243"/>
      <c r="U25" s="177"/>
      <c r="V25" s="243"/>
      <c r="W25" s="177"/>
      <c r="X25" s="45"/>
    </row>
    <row r="26" spans="1:26" s="3" customFormat="1" ht="18" thickBot="1" x14ac:dyDescent="0.35">
      <c r="A26" s="517"/>
      <c r="B26" s="521" t="s">
        <v>45</v>
      </c>
      <c r="C26" s="279">
        <f>'RICE Input'!C21</f>
        <v>4</v>
      </c>
      <c r="D26" s="299" t="s">
        <v>54</v>
      </c>
      <c r="E26" s="759" t="s">
        <v>2</v>
      </c>
      <c r="F26" s="795"/>
      <c r="G26" s="522">
        <f>C20</f>
        <v>100</v>
      </c>
      <c r="H26" s="205" t="s">
        <v>55</v>
      </c>
      <c r="I26" s="436" t="s">
        <v>2</v>
      </c>
      <c r="J26" s="298" t="s">
        <v>156</v>
      </c>
      <c r="K26" s="196" t="s">
        <v>0</v>
      </c>
      <c r="L26" s="275">
        <f>C26*G26/453.6</f>
        <v>0.88183421516754845</v>
      </c>
      <c r="M26" s="300" t="s">
        <v>1</v>
      </c>
      <c r="N26" s="435" t="s">
        <v>2</v>
      </c>
      <c r="O26" s="528" t="str">
        <f>O22</f>
        <v>0</v>
      </c>
      <c r="P26" s="300" t="s">
        <v>37</v>
      </c>
      <c r="Q26" s="436" t="s">
        <v>2</v>
      </c>
      <c r="R26" s="278" t="s">
        <v>56</v>
      </c>
      <c r="S26" s="196" t="s">
        <v>0</v>
      </c>
      <c r="T26" s="524">
        <f>(L26*O26/2000)*K21</f>
        <v>0</v>
      </c>
      <c r="U26" s="205" t="s">
        <v>221</v>
      </c>
      <c r="V26" s="205"/>
      <c r="W26" s="207"/>
      <c r="X26" s="45"/>
    </row>
    <row r="27" spans="1:26" s="3" customFormat="1" ht="9.9499999999999993" customHeight="1" thickBot="1" x14ac:dyDescent="0.35">
      <c r="A27" s="529"/>
      <c r="B27" s="254"/>
      <c r="C27" s="254"/>
      <c r="D27" s="254"/>
      <c r="E27" s="254"/>
      <c r="F27" s="254"/>
      <c r="G27" s="507"/>
      <c r="H27" s="254"/>
      <c r="I27" s="254"/>
      <c r="J27" s="441"/>
      <c r="K27" s="254"/>
      <c r="L27" s="446"/>
      <c r="M27" s="339"/>
      <c r="N27" s="339"/>
      <c r="O27" s="530"/>
      <c r="P27" s="339"/>
      <c r="Q27" s="339"/>
      <c r="R27" s="254"/>
      <c r="S27" s="254"/>
      <c r="T27" s="446"/>
      <c r="U27" s="254"/>
      <c r="V27" s="254"/>
      <c r="W27" s="254"/>
      <c r="X27" s="531"/>
      <c r="Y27" s="42"/>
    </row>
    <row r="28" spans="1:26" s="1" customFormat="1" ht="9.9499999999999993" customHeight="1" thickTop="1" thickBot="1" x14ac:dyDescent="0.35">
      <c r="A28" s="20"/>
      <c r="B28" s="330"/>
      <c r="C28" s="160"/>
      <c r="D28" s="160"/>
      <c r="E28" s="160"/>
      <c r="F28" s="160"/>
      <c r="G28" s="302"/>
      <c r="H28" s="160"/>
      <c r="I28" s="160"/>
      <c r="J28" s="160"/>
      <c r="K28" s="160"/>
      <c r="L28" s="198"/>
      <c r="M28" s="160"/>
      <c r="N28" s="160"/>
      <c r="O28" s="198"/>
      <c r="P28" s="160"/>
      <c r="Q28" s="160"/>
      <c r="R28" s="160"/>
      <c r="S28" s="160"/>
      <c r="T28" s="303"/>
      <c r="U28" s="160"/>
      <c r="V28" s="160"/>
      <c r="W28" s="160"/>
      <c r="X28" s="20"/>
      <c r="Y28" s="26"/>
      <c r="Z28" s="26"/>
    </row>
    <row r="29" spans="1:26" s="1" customFormat="1" ht="18" thickTop="1" x14ac:dyDescent="0.3">
      <c r="A29" s="532"/>
      <c r="B29" s="796" t="s">
        <v>196</v>
      </c>
      <c r="C29" s="796"/>
      <c r="D29" s="191"/>
      <c r="E29" s="191"/>
      <c r="F29" s="191"/>
      <c r="G29" s="191"/>
      <c r="H29" s="191"/>
      <c r="I29" s="191"/>
      <c r="J29" s="191"/>
      <c r="K29" s="191"/>
      <c r="L29" s="191"/>
      <c r="M29" s="191"/>
      <c r="N29" s="191"/>
      <c r="O29" s="191"/>
      <c r="P29" s="533"/>
      <c r="Q29" s="233"/>
      <c r="R29" s="534"/>
      <c r="S29" s="233"/>
      <c r="T29" s="400"/>
      <c r="U29" s="189"/>
      <c r="V29" s="189"/>
      <c r="W29" s="189"/>
      <c r="X29" s="535"/>
    </row>
    <row r="30" spans="1:26" s="3" customFormat="1" ht="9.9499999999999993" customHeight="1" thickBot="1" x14ac:dyDescent="0.35">
      <c r="A30" s="517"/>
      <c r="B30" s="402"/>
      <c r="C30" s="177"/>
      <c r="D30" s="177"/>
      <c r="E30" s="177"/>
      <c r="F30" s="177"/>
      <c r="G30" s="293"/>
      <c r="H30" s="177"/>
      <c r="I30" s="177"/>
      <c r="J30" s="177"/>
      <c r="K30" s="177"/>
      <c r="L30" s="196"/>
      <c r="M30" s="177"/>
      <c r="N30" s="177"/>
      <c r="O30" s="196"/>
      <c r="P30" s="177"/>
      <c r="Q30" s="177"/>
      <c r="R30" s="177"/>
      <c r="S30" s="177"/>
      <c r="T30" s="294"/>
      <c r="U30" s="177"/>
      <c r="V30" s="177"/>
      <c r="W30" s="177"/>
      <c r="X30" s="48"/>
      <c r="Z30" s="42"/>
    </row>
    <row r="31" spans="1:26" s="3" customFormat="1" ht="18" thickBot="1" x14ac:dyDescent="0.35">
      <c r="A31" s="517"/>
      <c r="B31" s="292"/>
      <c r="C31" s="511">
        <f>'RICE Input'!C28</f>
        <v>100</v>
      </c>
      <c r="D31" s="285" t="s">
        <v>58</v>
      </c>
      <c r="E31" s="196"/>
      <c r="F31" s="215">
        <f>'RICE Input'!C32</f>
        <v>0.9</v>
      </c>
      <c r="G31" s="184" t="s">
        <v>153</v>
      </c>
      <c r="H31" s="491"/>
      <c r="I31" s="296">
        <f>'RICE Input'!C33</f>
        <v>0.75</v>
      </c>
      <c r="J31" s="184" t="s">
        <v>154</v>
      </c>
      <c r="K31" s="215">
        <f>'RICE Input'!C34</f>
        <v>0.7</v>
      </c>
      <c r="L31" s="184" t="s">
        <v>155</v>
      </c>
      <c r="M31" s="177"/>
      <c r="N31" s="177"/>
      <c r="O31" s="196"/>
      <c r="P31" s="512"/>
      <c r="Q31" s="779"/>
      <c r="R31" s="779"/>
      <c r="S31" s="779"/>
      <c r="T31" s="779"/>
      <c r="U31" s="177"/>
      <c r="V31" s="177"/>
      <c r="W31" s="177"/>
      <c r="X31" s="48"/>
    </row>
    <row r="32" spans="1:26" s="1" customFormat="1" ht="9.9499999999999993" customHeight="1" thickBot="1" x14ac:dyDescent="0.35">
      <c r="A32" s="74"/>
      <c r="B32" s="292"/>
      <c r="C32" s="431"/>
      <c r="D32" s="431"/>
      <c r="E32" s="431"/>
      <c r="F32" s="513">
        <f>100%-F31</f>
        <v>9.9999999999999978E-2</v>
      </c>
      <c r="G32" s="431"/>
      <c r="H32" s="202"/>
      <c r="I32" s="514">
        <f>100%-I31</f>
        <v>0.25</v>
      </c>
      <c r="J32" s="202"/>
      <c r="K32" s="515">
        <f>100%-K31</f>
        <v>0.30000000000000004</v>
      </c>
      <c r="L32" s="202"/>
      <c r="M32" s="177"/>
      <c r="N32" s="177"/>
      <c r="O32" s="196"/>
      <c r="P32" s="516"/>
      <c r="Q32" s="729"/>
      <c r="R32" s="729"/>
      <c r="S32" s="729"/>
      <c r="T32" s="729"/>
      <c r="U32" s="729"/>
      <c r="V32" s="729"/>
      <c r="W32" s="177"/>
      <c r="X32" s="48"/>
    </row>
    <row r="33" spans="1:25" s="3" customFormat="1" ht="18" thickBot="1" x14ac:dyDescent="0.35">
      <c r="A33" s="517"/>
      <c r="B33" s="521" t="s">
        <v>52</v>
      </c>
      <c r="C33" s="279">
        <f>'RICE Input'!C29</f>
        <v>10</v>
      </c>
      <c r="D33" s="297" t="s">
        <v>54</v>
      </c>
      <c r="E33" s="759" t="s">
        <v>2</v>
      </c>
      <c r="F33" s="795"/>
      <c r="G33" s="522">
        <f>C31</f>
        <v>100</v>
      </c>
      <c r="H33" s="204" t="s">
        <v>55</v>
      </c>
      <c r="I33" s="196" t="s">
        <v>2</v>
      </c>
      <c r="J33" s="298" t="s">
        <v>156</v>
      </c>
      <c r="K33" s="196" t="s">
        <v>0</v>
      </c>
      <c r="L33" s="279">
        <f>C33*G33/453.6</f>
        <v>2.204585537918871</v>
      </c>
      <c r="M33" s="331" t="s">
        <v>1</v>
      </c>
      <c r="N33" s="435" t="s">
        <v>2</v>
      </c>
      <c r="O33" s="523" t="str">
        <f>'RICE Input'!C27</f>
        <v>0</v>
      </c>
      <c r="P33" s="331" t="s">
        <v>37</v>
      </c>
      <c r="Q33" s="436" t="s">
        <v>2</v>
      </c>
      <c r="R33" s="278" t="s">
        <v>56</v>
      </c>
      <c r="S33" s="196" t="s">
        <v>0</v>
      </c>
      <c r="T33" s="524">
        <f>(L33*O33/2000)*F32</f>
        <v>0</v>
      </c>
      <c r="U33" s="204" t="s">
        <v>220</v>
      </c>
      <c r="V33" s="242"/>
      <c r="W33" s="177"/>
      <c r="X33" s="45"/>
    </row>
    <row r="34" spans="1:25" s="3" customFormat="1" ht="9.9499999999999993" customHeight="1" thickBot="1" x14ac:dyDescent="0.35">
      <c r="A34" s="517"/>
      <c r="B34" s="292"/>
      <c r="C34" s="525"/>
      <c r="D34" s="525"/>
      <c r="E34" s="525"/>
      <c r="F34" s="196"/>
      <c r="G34" s="518"/>
      <c r="H34" s="216"/>
      <c r="I34" s="196"/>
      <c r="J34" s="202"/>
      <c r="K34" s="196"/>
      <c r="L34" s="519"/>
      <c r="M34" s="520"/>
      <c r="N34" s="196"/>
      <c r="O34" s="526"/>
      <c r="P34" s="202"/>
      <c r="Q34" s="196"/>
      <c r="R34" s="196"/>
      <c r="S34" s="196"/>
      <c r="T34" s="527"/>
      <c r="U34" s="216"/>
      <c r="V34" s="216"/>
      <c r="W34" s="177"/>
      <c r="X34" s="45"/>
    </row>
    <row r="35" spans="1:25" s="3" customFormat="1" ht="18" thickBot="1" x14ac:dyDescent="0.35">
      <c r="A35" s="517"/>
      <c r="B35" s="521" t="s">
        <v>38</v>
      </c>
      <c r="C35" s="279">
        <f>'RICE Input'!C30</f>
        <v>5</v>
      </c>
      <c r="D35" s="299" t="s">
        <v>54</v>
      </c>
      <c r="E35" s="759" t="s">
        <v>2</v>
      </c>
      <c r="F35" s="795"/>
      <c r="G35" s="522">
        <f>C31</f>
        <v>100</v>
      </c>
      <c r="H35" s="204" t="s">
        <v>55</v>
      </c>
      <c r="I35" s="196" t="s">
        <v>2</v>
      </c>
      <c r="J35" s="298" t="s">
        <v>156</v>
      </c>
      <c r="K35" s="196" t="s">
        <v>0</v>
      </c>
      <c r="L35" s="279">
        <f>C35*G35/453.6</f>
        <v>1.1022927689594355</v>
      </c>
      <c r="M35" s="300" t="s">
        <v>1</v>
      </c>
      <c r="N35" s="435" t="s">
        <v>2</v>
      </c>
      <c r="O35" s="523" t="str">
        <f>O33</f>
        <v>0</v>
      </c>
      <c r="P35" s="300" t="s">
        <v>37</v>
      </c>
      <c r="Q35" s="436" t="s">
        <v>2</v>
      </c>
      <c r="R35" s="301" t="s">
        <v>56</v>
      </c>
      <c r="S35" s="196" t="s">
        <v>0</v>
      </c>
      <c r="T35" s="524">
        <f>(L35*O35/2000)*I32</f>
        <v>0</v>
      </c>
      <c r="U35" s="216" t="s">
        <v>219</v>
      </c>
      <c r="V35" s="204"/>
      <c r="W35" s="177"/>
      <c r="X35" s="45"/>
    </row>
    <row r="36" spans="1:25" s="3" customFormat="1" ht="9.9499999999999993" customHeight="1" thickBot="1" x14ac:dyDescent="0.35">
      <c r="A36" s="517"/>
      <c r="B36" s="177"/>
      <c r="C36" s="525"/>
      <c r="D36" s="525"/>
      <c r="E36" s="525"/>
      <c r="F36" s="196"/>
      <c r="G36" s="518"/>
      <c r="H36" s="177"/>
      <c r="I36" s="196"/>
      <c r="J36" s="202"/>
      <c r="K36" s="196"/>
      <c r="L36" s="519"/>
      <c r="M36" s="202"/>
      <c r="N36" s="196"/>
      <c r="O36" s="526"/>
      <c r="P36" s="202"/>
      <c r="Q36" s="196"/>
      <c r="R36" s="196"/>
      <c r="S36" s="196"/>
      <c r="T36" s="527"/>
      <c r="U36" s="177"/>
      <c r="V36" s="216"/>
      <c r="W36" s="177"/>
      <c r="X36" s="45"/>
    </row>
    <row r="37" spans="1:25" s="3" customFormat="1" ht="18" thickBot="1" x14ac:dyDescent="0.35">
      <c r="A37" s="517"/>
      <c r="B37" s="521" t="s">
        <v>45</v>
      </c>
      <c r="C37" s="279">
        <f>'RICE Input'!C31</f>
        <v>4</v>
      </c>
      <c r="D37" s="299" t="s">
        <v>54</v>
      </c>
      <c r="E37" s="759" t="s">
        <v>2</v>
      </c>
      <c r="F37" s="795"/>
      <c r="G37" s="522">
        <f>C31</f>
        <v>100</v>
      </c>
      <c r="H37" s="205" t="s">
        <v>55</v>
      </c>
      <c r="I37" s="436" t="s">
        <v>2</v>
      </c>
      <c r="J37" s="298" t="s">
        <v>156</v>
      </c>
      <c r="K37" s="196" t="s">
        <v>0</v>
      </c>
      <c r="L37" s="275">
        <f>C37*G37/453.6</f>
        <v>0.88183421516754845</v>
      </c>
      <c r="M37" s="300" t="s">
        <v>1</v>
      </c>
      <c r="N37" s="435" t="s">
        <v>2</v>
      </c>
      <c r="O37" s="528" t="str">
        <f>O33</f>
        <v>0</v>
      </c>
      <c r="P37" s="300" t="s">
        <v>37</v>
      </c>
      <c r="Q37" s="436" t="s">
        <v>2</v>
      </c>
      <c r="R37" s="278" t="s">
        <v>56</v>
      </c>
      <c r="S37" s="196" t="s">
        <v>0</v>
      </c>
      <c r="T37" s="524">
        <f>(L37*O37/2000)*K32</f>
        <v>0</v>
      </c>
      <c r="U37" s="205" t="s">
        <v>221</v>
      </c>
      <c r="V37" s="205"/>
      <c r="W37" s="207"/>
      <c r="X37" s="45"/>
    </row>
    <row r="38" spans="1:25" s="3" customFormat="1" ht="9.9499999999999993" customHeight="1" thickBot="1" x14ac:dyDescent="0.35">
      <c r="A38" s="529"/>
      <c r="B38" s="254"/>
      <c r="C38" s="254"/>
      <c r="D38" s="254"/>
      <c r="E38" s="254"/>
      <c r="F38" s="254"/>
      <c r="G38" s="507"/>
      <c r="H38" s="254"/>
      <c r="I38" s="254"/>
      <c r="J38" s="441"/>
      <c r="K38" s="254"/>
      <c r="L38" s="446"/>
      <c r="M38" s="339"/>
      <c r="N38" s="339"/>
      <c r="O38" s="530"/>
      <c r="P38" s="339"/>
      <c r="Q38" s="339"/>
      <c r="R38" s="254"/>
      <c r="S38" s="254"/>
      <c r="T38" s="446"/>
      <c r="U38" s="254"/>
      <c r="V38" s="254"/>
      <c r="W38" s="254"/>
      <c r="X38" s="531"/>
      <c r="Y38" s="42"/>
    </row>
    <row r="39" spans="1:25" s="3" customFormat="1" ht="9.9499999999999993" customHeight="1" thickTop="1" thickBot="1" x14ac:dyDescent="0.35">
      <c r="A39" s="547"/>
      <c r="B39" s="161"/>
      <c r="C39" s="161"/>
      <c r="D39" s="161"/>
      <c r="E39" s="161"/>
      <c r="F39" s="161"/>
      <c r="G39" s="305"/>
      <c r="H39" s="161"/>
      <c r="I39" s="161"/>
      <c r="J39" s="161"/>
      <c r="K39" s="161"/>
      <c r="L39" s="161"/>
      <c r="M39" s="161"/>
      <c r="N39" s="161"/>
      <c r="O39" s="306"/>
      <c r="P39" s="161"/>
      <c r="Q39" s="161"/>
      <c r="R39" s="161"/>
      <c r="S39" s="161"/>
      <c r="T39" s="161"/>
      <c r="U39" s="161"/>
      <c r="V39" s="161"/>
      <c r="W39" s="161"/>
      <c r="X39" s="78"/>
    </row>
    <row r="40" spans="1:25" s="3" customFormat="1" ht="18" thickTop="1" x14ac:dyDescent="0.3">
      <c r="A40" s="517"/>
      <c r="B40" s="548" t="s">
        <v>197</v>
      </c>
      <c r="C40" s="177"/>
      <c r="D40" s="177"/>
      <c r="E40" s="177"/>
      <c r="F40" s="177"/>
      <c r="G40" s="293"/>
      <c r="H40" s="177"/>
      <c r="I40" s="177"/>
      <c r="J40" s="177"/>
      <c r="K40" s="177"/>
      <c r="L40" s="196"/>
      <c r="M40" s="177"/>
      <c r="N40" s="177"/>
      <c r="O40" s="549"/>
      <c r="P40" s="177"/>
      <c r="Q40" s="177"/>
      <c r="R40" s="177"/>
      <c r="S40" s="177"/>
      <c r="T40" s="294"/>
      <c r="U40" s="177"/>
      <c r="V40" s="177"/>
      <c r="W40" s="177"/>
      <c r="X40" s="48"/>
    </row>
    <row r="41" spans="1:25" s="3" customFormat="1" ht="9.9499999999999993" customHeight="1" thickBot="1" x14ac:dyDescent="0.35">
      <c r="A41" s="517"/>
      <c r="B41" s="402"/>
      <c r="C41" s="177"/>
      <c r="D41" s="177"/>
      <c r="E41" s="177"/>
      <c r="F41" s="177"/>
      <c r="G41" s="293"/>
      <c r="H41" s="177"/>
      <c r="I41" s="177"/>
      <c r="J41" s="177"/>
      <c r="K41" s="177"/>
      <c r="L41" s="196"/>
      <c r="M41" s="177"/>
      <c r="N41" s="177"/>
      <c r="O41" s="549"/>
      <c r="P41" s="177"/>
      <c r="Q41" s="177"/>
      <c r="R41" s="177"/>
      <c r="S41" s="177"/>
      <c r="T41" s="294"/>
      <c r="U41" s="177"/>
      <c r="V41" s="177"/>
      <c r="W41" s="177"/>
      <c r="X41" s="48"/>
    </row>
    <row r="42" spans="1:25" s="3" customFormat="1" ht="18" thickBot="1" x14ac:dyDescent="0.35">
      <c r="A42" s="517"/>
      <c r="B42" s="292"/>
      <c r="C42" s="511">
        <f>'RICE Input'!C38</f>
        <v>100</v>
      </c>
      <c r="D42" s="285" t="s">
        <v>58</v>
      </c>
      <c r="E42" s="196"/>
      <c r="F42" s="215">
        <f>'RICE Input'!C42</f>
        <v>0.9</v>
      </c>
      <c r="G42" s="184" t="s">
        <v>153</v>
      </c>
      <c r="H42" s="491"/>
      <c r="I42" s="296">
        <f>'RICE Input'!C43</f>
        <v>0.75</v>
      </c>
      <c r="J42" s="184" t="s">
        <v>154</v>
      </c>
      <c r="K42" s="215">
        <f>'RICE Input'!C44</f>
        <v>0.7</v>
      </c>
      <c r="L42" s="184" t="s">
        <v>155</v>
      </c>
      <c r="M42" s="177"/>
      <c r="N42" s="177"/>
      <c r="O42" s="549"/>
      <c r="P42" s="512"/>
      <c r="Q42" s="779"/>
      <c r="R42" s="779"/>
      <c r="S42" s="779"/>
      <c r="T42" s="779"/>
      <c r="U42" s="177"/>
      <c r="V42" s="177"/>
      <c r="W42" s="177"/>
      <c r="X42" s="48"/>
    </row>
    <row r="43" spans="1:25" s="1" customFormat="1" ht="9.9499999999999993" customHeight="1" thickBot="1" x14ac:dyDescent="0.35">
      <c r="A43" s="74"/>
      <c r="B43" s="292"/>
      <c r="C43" s="431"/>
      <c r="D43" s="431"/>
      <c r="E43" s="431"/>
      <c r="F43" s="513">
        <f>100%-F42</f>
        <v>9.9999999999999978E-2</v>
      </c>
      <c r="G43" s="431"/>
      <c r="H43" s="202"/>
      <c r="I43" s="514">
        <f>100%-I42</f>
        <v>0.25</v>
      </c>
      <c r="J43" s="202"/>
      <c r="K43" s="515">
        <f>100%-K42</f>
        <v>0.30000000000000004</v>
      </c>
      <c r="L43" s="202"/>
      <c r="M43" s="177"/>
      <c r="N43" s="177"/>
      <c r="O43" s="196"/>
      <c r="P43" s="516"/>
      <c r="Q43" s="729"/>
      <c r="R43" s="729"/>
      <c r="S43" s="729"/>
      <c r="T43" s="729"/>
      <c r="U43" s="729"/>
      <c r="V43" s="729"/>
      <c r="W43" s="177"/>
      <c r="X43" s="48"/>
    </row>
    <row r="44" spans="1:25" s="3" customFormat="1" ht="18" thickBot="1" x14ac:dyDescent="0.35">
      <c r="A44" s="517"/>
      <c r="B44" s="521" t="s">
        <v>52</v>
      </c>
      <c r="C44" s="279">
        <f>'RICE Input'!C39</f>
        <v>10</v>
      </c>
      <c r="D44" s="297" t="s">
        <v>54</v>
      </c>
      <c r="E44" s="759" t="s">
        <v>2</v>
      </c>
      <c r="F44" s="795"/>
      <c r="G44" s="522">
        <f>C42</f>
        <v>100</v>
      </c>
      <c r="H44" s="204" t="s">
        <v>55</v>
      </c>
      <c r="I44" s="196" t="s">
        <v>2</v>
      </c>
      <c r="J44" s="298" t="s">
        <v>156</v>
      </c>
      <c r="K44" s="196" t="s">
        <v>0</v>
      </c>
      <c r="L44" s="279">
        <f>C44*G44/453.6</f>
        <v>2.204585537918871</v>
      </c>
      <c r="M44" s="331" t="s">
        <v>1</v>
      </c>
      <c r="N44" s="435" t="s">
        <v>2</v>
      </c>
      <c r="O44" s="523" t="str">
        <f>'RICE Input'!C37</f>
        <v>0</v>
      </c>
      <c r="P44" s="331" t="s">
        <v>37</v>
      </c>
      <c r="Q44" s="436" t="s">
        <v>2</v>
      </c>
      <c r="R44" s="278" t="s">
        <v>56</v>
      </c>
      <c r="S44" s="196" t="s">
        <v>0</v>
      </c>
      <c r="T44" s="524">
        <f>(L44*O44/2000)*F43</f>
        <v>0</v>
      </c>
      <c r="U44" s="204" t="s">
        <v>220</v>
      </c>
      <c r="V44" s="242"/>
      <c r="W44" s="177"/>
      <c r="X44" s="45"/>
    </row>
    <row r="45" spans="1:25" s="3" customFormat="1" ht="9.9499999999999993" customHeight="1" thickBot="1" x14ac:dyDescent="0.35">
      <c r="A45" s="517"/>
      <c r="B45" s="292"/>
      <c r="C45" s="525"/>
      <c r="D45" s="525"/>
      <c r="E45" s="525"/>
      <c r="F45" s="196"/>
      <c r="G45" s="518"/>
      <c r="H45" s="216"/>
      <c r="I45" s="196"/>
      <c r="J45" s="202"/>
      <c r="K45" s="196"/>
      <c r="L45" s="519"/>
      <c r="M45" s="520"/>
      <c r="N45" s="196"/>
      <c r="O45" s="526"/>
      <c r="P45" s="202"/>
      <c r="Q45" s="196"/>
      <c r="R45" s="196"/>
      <c r="S45" s="196"/>
      <c r="T45" s="527"/>
      <c r="U45" s="216"/>
      <c r="V45" s="216"/>
      <c r="W45" s="177"/>
      <c r="X45" s="45"/>
    </row>
    <row r="46" spans="1:25" s="3" customFormat="1" ht="18" thickBot="1" x14ac:dyDescent="0.35">
      <c r="A46" s="517"/>
      <c r="B46" s="521" t="s">
        <v>38</v>
      </c>
      <c r="C46" s="279">
        <f>'RICE Input'!C40</f>
        <v>5</v>
      </c>
      <c r="D46" s="299" t="s">
        <v>54</v>
      </c>
      <c r="E46" s="759" t="s">
        <v>2</v>
      </c>
      <c r="F46" s="795"/>
      <c r="G46" s="522">
        <f>C42</f>
        <v>100</v>
      </c>
      <c r="H46" s="204" t="s">
        <v>55</v>
      </c>
      <c r="I46" s="196" t="s">
        <v>2</v>
      </c>
      <c r="J46" s="298" t="s">
        <v>156</v>
      </c>
      <c r="K46" s="196" t="s">
        <v>0</v>
      </c>
      <c r="L46" s="279">
        <f>C46*G46/453.6</f>
        <v>1.1022927689594355</v>
      </c>
      <c r="M46" s="300" t="s">
        <v>1</v>
      </c>
      <c r="N46" s="435" t="s">
        <v>2</v>
      </c>
      <c r="O46" s="523" t="str">
        <f>O44</f>
        <v>0</v>
      </c>
      <c r="P46" s="300" t="s">
        <v>37</v>
      </c>
      <c r="Q46" s="436" t="s">
        <v>2</v>
      </c>
      <c r="R46" s="301" t="s">
        <v>56</v>
      </c>
      <c r="S46" s="196" t="s">
        <v>0</v>
      </c>
      <c r="T46" s="524">
        <f>(L46*O46/2000)*I43</f>
        <v>0</v>
      </c>
      <c r="U46" s="216" t="s">
        <v>219</v>
      </c>
      <c r="V46" s="204"/>
      <c r="W46" s="177"/>
      <c r="X46" s="45"/>
    </row>
    <row r="47" spans="1:25" s="3" customFormat="1" ht="9.9499999999999993" customHeight="1" thickBot="1" x14ac:dyDescent="0.35">
      <c r="A47" s="517"/>
      <c r="B47" s="521"/>
      <c r="C47" s="544"/>
      <c r="D47" s="544"/>
      <c r="E47" s="544"/>
      <c r="F47" s="196"/>
      <c r="G47" s="545"/>
      <c r="H47" s="177"/>
      <c r="I47" s="196"/>
      <c r="J47" s="202"/>
      <c r="K47" s="196"/>
      <c r="L47" s="542"/>
      <c r="M47" s="202"/>
      <c r="N47" s="196"/>
      <c r="O47" s="304"/>
      <c r="P47" s="202"/>
      <c r="Q47" s="196"/>
      <c r="R47" s="546"/>
      <c r="S47" s="196"/>
      <c r="T47" s="243"/>
      <c r="U47" s="177"/>
      <c r="V47" s="243"/>
      <c r="W47" s="177"/>
      <c r="X47" s="45"/>
    </row>
    <row r="48" spans="1:25" s="3" customFormat="1" ht="18" thickBot="1" x14ac:dyDescent="0.35">
      <c r="A48" s="517"/>
      <c r="B48" s="521" t="s">
        <v>45</v>
      </c>
      <c r="C48" s="279">
        <f>'RICE Input'!C41</f>
        <v>4</v>
      </c>
      <c r="D48" s="299" t="s">
        <v>54</v>
      </c>
      <c r="E48" s="759" t="s">
        <v>2</v>
      </c>
      <c r="F48" s="795"/>
      <c r="G48" s="522">
        <f>C42</f>
        <v>100</v>
      </c>
      <c r="H48" s="205" t="s">
        <v>55</v>
      </c>
      <c r="I48" s="436" t="s">
        <v>2</v>
      </c>
      <c r="J48" s="298" t="s">
        <v>156</v>
      </c>
      <c r="K48" s="196" t="s">
        <v>0</v>
      </c>
      <c r="L48" s="275">
        <f>C48*G48/453.6</f>
        <v>0.88183421516754845</v>
      </c>
      <c r="M48" s="300" t="s">
        <v>1</v>
      </c>
      <c r="N48" s="435" t="s">
        <v>2</v>
      </c>
      <c r="O48" s="528" t="str">
        <f>O44</f>
        <v>0</v>
      </c>
      <c r="P48" s="300" t="s">
        <v>37</v>
      </c>
      <c r="Q48" s="436" t="s">
        <v>2</v>
      </c>
      <c r="R48" s="278" t="s">
        <v>56</v>
      </c>
      <c r="S48" s="196" t="s">
        <v>0</v>
      </c>
      <c r="T48" s="524">
        <f>(L48*O48/2000)*K43</f>
        <v>0</v>
      </c>
      <c r="U48" s="205" t="s">
        <v>221</v>
      </c>
      <c r="V48" s="205"/>
      <c r="W48" s="207"/>
      <c r="X48" s="45"/>
    </row>
    <row r="49" spans="1:25" s="3" customFormat="1" ht="9.9499999999999993" customHeight="1" thickBot="1" x14ac:dyDescent="0.35">
      <c r="A49" s="529"/>
      <c r="B49" s="254"/>
      <c r="C49" s="254"/>
      <c r="D49" s="254"/>
      <c r="E49" s="254"/>
      <c r="F49" s="254"/>
      <c r="G49" s="507"/>
      <c r="H49" s="254"/>
      <c r="I49" s="254"/>
      <c r="J49" s="441"/>
      <c r="K49" s="254"/>
      <c r="L49" s="446"/>
      <c r="M49" s="339"/>
      <c r="N49" s="339"/>
      <c r="O49" s="530"/>
      <c r="P49" s="339"/>
      <c r="Q49" s="339"/>
      <c r="R49" s="254"/>
      <c r="S49" s="254"/>
      <c r="T49" s="446"/>
      <c r="U49" s="254"/>
      <c r="V49" s="254"/>
      <c r="W49" s="254"/>
      <c r="X49" s="531"/>
      <c r="Y49" s="42"/>
    </row>
    <row r="50" spans="1:25" s="3" customFormat="1" ht="9.9499999999999993" customHeight="1" thickTop="1" thickBot="1" x14ac:dyDescent="0.35">
      <c r="A50" s="71"/>
      <c r="B50" s="160"/>
      <c r="C50" s="307"/>
      <c r="D50" s="307"/>
      <c r="E50" s="308"/>
      <c r="F50" s="190"/>
      <c r="G50" s="309"/>
      <c r="H50" s="158"/>
      <c r="I50" s="190"/>
      <c r="J50" s="310"/>
      <c r="K50" s="190"/>
      <c r="L50" s="311"/>
      <c r="M50" s="310"/>
      <c r="N50" s="190"/>
      <c r="O50" s="312"/>
      <c r="P50" s="310"/>
      <c r="Q50" s="190"/>
      <c r="R50" s="313"/>
      <c r="S50" s="190"/>
      <c r="T50" s="314"/>
      <c r="U50" s="158"/>
      <c r="V50" s="158"/>
      <c r="W50" s="160"/>
      <c r="X50" s="72"/>
    </row>
    <row r="51" spans="1:25" s="3" customFormat="1" ht="18" thickTop="1" x14ac:dyDescent="0.3">
      <c r="A51" s="532"/>
      <c r="B51" s="510" t="s">
        <v>198</v>
      </c>
      <c r="C51" s="189"/>
      <c r="D51" s="189"/>
      <c r="E51" s="189"/>
      <c r="F51" s="189"/>
      <c r="G51" s="503"/>
      <c r="H51" s="189"/>
      <c r="I51" s="189"/>
      <c r="J51" s="189"/>
      <c r="K51" s="189"/>
      <c r="L51" s="233"/>
      <c r="M51" s="189"/>
      <c r="N51" s="189"/>
      <c r="O51" s="550"/>
      <c r="P51" s="189"/>
      <c r="Q51" s="189"/>
      <c r="R51" s="189"/>
      <c r="S51" s="189"/>
      <c r="T51" s="504"/>
      <c r="U51" s="189"/>
      <c r="V51" s="189"/>
      <c r="W51" s="189"/>
      <c r="X51" s="505"/>
    </row>
    <row r="52" spans="1:25" s="3" customFormat="1" ht="9.9499999999999993" customHeight="1" thickBot="1" x14ac:dyDescent="0.35">
      <c r="A52" s="517"/>
      <c r="B52" s="402"/>
      <c r="C52" s="177"/>
      <c r="D52" s="177"/>
      <c r="E52" s="177"/>
      <c r="F52" s="177"/>
      <c r="G52" s="293"/>
      <c r="H52" s="177"/>
      <c r="I52" s="177"/>
      <c r="J52" s="177"/>
      <c r="K52" s="177"/>
      <c r="L52" s="196"/>
      <c r="M52" s="177"/>
      <c r="N52" s="177"/>
      <c r="O52" s="549"/>
      <c r="P52" s="177"/>
      <c r="Q52" s="177"/>
      <c r="R52" s="177"/>
      <c r="S52" s="177"/>
      <c r="T52" s="294"/>
      <c r="U52" s="177"/>
      <c r="V52" s="177"/>
      <c r="W52" s="177"/>
      <c r="X52" s="48"/>
    </row>
    <row r="53" spans="1:25" s="3" customFormat="1" ht="18" thickBot="1" x14ac:dyDescent="0.35">
      <c r="A53" s="517"/>
      <c r="B53" s="292"/>
      <c r="C53" s="511">
        <f>'RICE Input'!C48</f>
        <v>100</v>
      </c>
      <c r="D53" s="285" t="s">
        <v>58</v>
      </c>
      <c r="E53" s="196"/>
      <c r="F53" s="215">
        <f>'RICE Input'!C52</f>
        <v>0.9</v>
      </c>
      <c r="G53" s="184" t="s">
        <v>153</v>
      </c>
      <c r="H53" s="491"/>
      <c r="I53" s="296">
        <f>'RICE Input'!C53</f>
        <v>0.75</v>
      </c>
      <c r="J53" s="184" t="s">
        <v>154</v>
      </c>
      <c r="K53" s="215">
        <f>'RICE Input'!C54</f>
        <v>0.7</v>
      </c>
      <c r="L53" s="184" t="s">
        <v>155</v>
      </c>
      <c r="M53" s="177"/>
      <c r="N53" s="177"/>
      <c r="O53" s="549"/>
      <c r="P53" s="512"/>
      <c r="Q53" s="779"/>
      <c r="R53" s="779"/>
      <c r="S53" s="779"/>
      <c r="T53" s="779"/>
      <c r="U53" s="177"/>
      <c r="V53" s="177"/>
      <c r="W53" s="177"/>
      <c r="X53" s="48"/>
    </row>
    <row r="54" spans="1:25" s="1" customFormat="1" ht="9.9499999999999993" customHeight="1" thickBot="1" x14ac:dyDescent="0.35">
      <c r="A54" s="74"/>
      <c r="B54" s="292"/>
      <c r="C54" s="431"/>
      <c r="D54" s="431"/>
      <c r="E54" s="431"/>
      <c r="F54" s="513">
        <f>100%-F53</f>
        <v>9.9999999999999978E-2</v>
      </c>
      <c r="G54" s="431"/>
      <c r="H54" s="202"/>
      <c r="I54" s="514">
        <f>100%-I53</f>
        <v>0.25</v>
      </c>
      <c r="J54" s="202"/>
      <c r="K54" s="515">
        <f>100%-K53</f>
        <v>0.30000000000000004</v>
      </c>
      <c r="L54" s="202"/>
      <c r="M54" s="177"/>
      <c r="N54" s="177"/>
      <c r="O54" s="196"/>
      <c r="P54" s="516"/>
      <c r="Q54" s="729"/>
      <c r="R54" s="729"/>
      <c r="S54" s="729"/>
      <c r="T54" s="729"/>
      <c r="U54" s="729"/>
      <c r="V54" s="729"/>
      <c r="W54" s="177"/>
      <c r="X54" s="48"/>
    </row>
    <row r="55" spans="1:25" s="3" customFormat="1" ht="18" thickBot="1" x14ac:dyDescent="0.35">
      <c r="A55" s="517"/>
      <c r="B55" s="521" t="s">
        <v>52</v>
      </c>
      <c r="C55" s="279">
        <f>'RICE Input'!C49</f>
        <v>10</v>
      </c>
      <c r="D55" s="297" t="s">
        <v>54</v>
      </c>
      <c r="E55" s="759" t="s">
        <v>2</v>
      </c>
      <c r="F55" s="795"/>
      <c r="G55" s="522">
        <f>C53</f>
        <v>100</v>
      </c>
      <c r="H55" s="204" t="s">
        <v>55</v>
      </c>
      <c r="I55" s="196" t="s">
        <v>2</v>
      </c>
      <c r="J55" s="298" t="s">
        <v>156</v>
      </c>
      <c r="K55" s="196" t="s">
        <v>0</v>
      </c>
      <c r="L55" s="279">
        <f>C55*G55/453.6</f>
        <v>2.204585537918871</v>
      </c>
      <c r="M55" s="331" t="s">
        <v>1</v>
      </c>
      <c r="N55" s="435" t="s">
        <v>2</v>
      </c>
      <c r="O55" s="523" t="str">
        <f>'RICE Input'!C47</f>
        <v>0</v>
      </c>
      <c r="P55" s="331" t="s">
        <v>37</v>
      </c>
      <c r="Q55" s="436" t="s">
        <v>2</v>
      </c>
      <c r="R55" s="278" t="s">
        <v>56</v>
      </c>
      <c r="S55" s="196" t="s">
        <v>0</v>
      </c>
      <c r="T55" s="524">
        <f>(L55*O55/2000)*F54</f>
        <v>0</v>
      </c>
      <c r="U55" s="204" t="s">
        <v>220</v>
      </c>
      <c r="V55" s="242"/>
      <c r="W55" s="177"/>
      <c r="X55" s="45"/>
    </row>
    <row r="56" spans="1:25" s="3" customFormat="1" ht="9.9499999999999993" customHeight="1" thickBot="1" x14ac:dyDescent="0.35">
      <c r="A56" s="517"/>
      <c r="B56" s="292"/>
      <c r="C56" s="525"/>
      <c r="D56" s="525"/>
      <c r="E56" s="525"/>
      <c r="F56" s="196"/>
      <c r="G56" s="518"/>
      <c r="H56" s="216"/>
      <c r="I56" s="196"/>
      <c r="J56" s="202"/>
      <c r="K56" s="196"/>
      <c r="L56" s="519"/>
      <c r="M56" s="520"/>
      <c r="N56" s="196"/>
      <c r="O56" s="526"/>
      <c r="P56" s="202"/>
      <c r="Q56" s="196"/>
      <c r="R56" s="196"/>
      <c r="S56" s="196"/>
      <c r="T56" s="527"/>
      <c r="U56" s="216"/>
      <c r="V56" s="216"/>
      <c r="W56" s="177"/>
      <c r="X56" s="45"/>
    </row>
    <row r="57" spans="1:25" s="3" customFormat="1" ht="18" thickBot="1" x14ac:dyDescent="0.35">
      <c r="A57" s="517"/>
      <c r="B57" s="521" t="s">
        <v>38</v>
      </c>
      <c r="C57" s="279">
        <f>'RICE Input'!C50</f>
        <v>5</v>
      </c>
      <c r="D57" s="299" t="s">
        <v>54</v>
      </c>
      <c r="E57" s="759" t="s">
        <v>2</v>
      </c>
      <c r="F57" s="795"/>
      <c r="G57" s="522">
        <f>C53</f>
        <v>100</v>
      </c>
      <c r="H57" s="204" t="s">
        <v>55</v>
      </c>
      <c r="I57" s="196" t="s">
        <v>2</v>
      </c>
      <c r="J57" s="298" t="s">
        <v>156</v>
      </c>
      <c r="K57" s="196" t="s">
        <v>0</v>
      </c>
      <c r="L57" s="279">
        <f>C57*G57/453.6</f>
        <v>1.1022927689594355</v>
      </c>
      <c r="M57" s="300" t="s">
        <v>1</v>
      </c>
      <c r="N57" s="435" t="s">
        <v>2</v>
      </c>
      <c r="O57" s="523" t="str">
        <f>O55</f>
        <v>0</v>
      </c>
      <c r="P57" s="300" t="s">
        <v>37</v>
      </c>
      <c r="Q57" s="436" t="s">
        <v>2</v>
      </c>
      <c r="R57" s="301" t="s">
        <v>56</v>
      </c>
      <c r="S57" s="196" t="s">
        <v>0</v>
      </c>
      <c r="T57" s="524">
        <f>(L57*O57/2000)*I54</f>
        <v>0</v>
      </c>
      <c r="U57" s="216" t="s">
        <v>219</v>
      </c>
      <c r="V57" s="204"/>
      <c r="W57" s="177"/>
      <c r="X57" s="45"/>
    </row>
    <row r="58" spans="1:25" s="3" customFormat="1" ht="9.9499999999999993" customHeight="1" thickBot="1" x14ac:dyDescent="0.35">
      <c r="A58" s="517"/>
      <c r="B58" s="177"/>
      <c r="C58" s="525"/>
      <c r="D58" s="525"/>
      <c r="E58" s="525"/>
      <c r="F58" s="196"/>
      <c r="G58" s="518"/>
      <c r="H58" s="177"/>
      <c r="I58" s="196"/>
      <c r="J58" s="202"/>
      <c r="K58" s="196"/>
      <c r="L58" s="519"/>
      <c r="M58" s="202"/>
      <c r="N58" s="196"/>
      <c r="O58" s="526"/>
      <c r="P58" s="202"/>
      <c r="Q58" s="196"/>
      <c r="R58" s="196"/>
      <c r="S58" s="196"/>
      <c r="T58" s="527"/>
      <c r="U58" s="177"/>
      <c r="V58" s="216"/>
      <c r="W58" s="177"/>
      <c r="X58" s="45"/>
    </row>
    <row r="59" spans="1:25" s="3" customFormat="1" ht="18" thickBot="1" x14ac:dyDescent="0.35">
      <c r="A59" s="517"/>
      <c r="B59" s="521" t="s">
        <v>45</v>
      </c>
      <c r="C59" s="279">
        <f>'RICE Input'!C51</f>
        <v>4</v>
      </c>
      <c r="D59" s="299" t="s">
        <v>54</v>
      </c>
      <c r="E59" s="759" t="s">
        <v>2</v>
      </c>
      <c r="F59" s="795"/>
      <c r="G59" s="522">
        <f>C53</f>
        <v>100</v>
      </c>
      <c r="H59" s="205" t="s">
        <v>55</v>
      </c>
      <c r="I59" s="436" t="s">
        <v>2</v>
      </c>
      <c r="J59" s="298" t="s">
        <v>156</v>
      </c>
      <c r="K59" s="196" t="s">
        <v>0</v>
      </c>
      <c r="L59" s="275">
        <f>C59*G59/453.6</f>
        <v>0.88183421516754845</v>
      </c>
      <c r="M59" s="300" t="s">
        <v>1</v>
      </c>
      <c r="N59" s="435" t="s">
        <v>2</v>
      </c>
      <c r="O59" s="528" t="str">
        <f>O55</f>
        <v>0</v>
      </c>
      <c r="P59" s="300" t="s">
        <v>37</v>
      </c>
      <c r="Q59" s="436" t="s">
        <v>2</v>
      </c>
      <c r="R59" s="278" t="s">
        <v>56</v>
      </c>
      <c r="S59" s="196" t="s">
        <v>0</v>
      </c>
      <c r="T59" s="524">
        <f>(L59*O59/2000)*K54</f>
        <v>0</v>
      </c>
      <c r="U59" s="205" t="s">
        <v>221</v>
      </c>
      <c r="V59" s="205"/>
      <c r="W59" s="207"/>
      <c r="X59" s="45"/>
    </row>
    <row r="60" spans="1:25" s="3" customFormat="1" ht="9.9499999999999993" customHeight="1" thickBot="1" x14ac:dyDescent="0.35">
      <c r="A60" s="529"/>
      <c r="B60" s="254"/>
      <c r="C60" s="254"/>
      <c r="D60" s="254"/>
      <c r="E60" s="254"/>
      <c r="F60" s="254"/>
      <c r="G60" s="507"/>
      <c r="H60" s="254"/>
      <c r="I60" s="254"/>
      <c r="J60" s="441"/>
      <c r="K60" s="254"/>
      <c r="L60" s="446"/>
      <c r="M60" s="339"/>
      <c r="N60" s="339"/>
      <c r="O60" s="530"/>
      <c r="P60" s="339"/>
      <c r="Q60" s="339"/>
      <c r="R60" s="254"/>
      <c r="S60" s="254"/>
      <c r="T60" s="446"/>
      <c r="U60" s="254"/>
      <c r="V60" s="254"/>
      <c r="W60" s="254"/>
      <c r="X60" s="531"/>
      <c r="Y60" s="42"/>
    </row>
    <row r="61" spans="1:25" ht="9.9499999999999993" customHeight="1" thickTop="1" thickBot="1" x14ac:dyDescent="0.35">
      <c r="A61" s="20"/>
      <c r="B61" s="158"/>
      <c r="C61" s="315"/>
      <c r="D61" s="315"/>
      <c r="E61" s="315"/>
      <c r="F61" s="190"/>
      <c r="G61" s="316"/>
      <c r="H61" s="158"/>
      <c r="I61" s="190"/>
      <c r="J61" s="310"/>
      <c r="K61" s="190"/>
      <c r="L61" s="317"/>
      <c r="M61" s="310"/>
      <c r="N61" s="190"/>
      <c r="O61" s="318"/>
      <c r="P61" s="310"/>
      <c r="Q61" s="190"/>
      <c r="R61" s="310"/>
      <c r="S61" s="158"/>
      <c r="T61" s="319"/>
      <c r="U61" s="158"/>
      <c r="V61" s="158"/>
      <c r="W61" s="158"/>
      <c r="X61" s="20"/>
    </row>
    <row r="62" spans="1:25" ht="18" thickTop="1" x14ac:dyDescent="0.3">
      <c r="A62" s="502"/>
      <c r="B62" s="510" t="s">
        <v>199</v>
      </c>
      <c r="C62" s="189"/>
      <c r="D62" s="189"/>
      <c r="E62" s="189"/>
      <c r="F62" s="189"/>
      <c r="G62" s="503"/>
      <c r="H62" s="189"/>
      <c r="I62" s="189"/>
      <c r="J62" s="189"/>
      <c r="K62" s="189"/>
      <c r="L62" s="233"/>
      <c r="M62" s="189"/>
      <c r="N62" s="189"/>
      <c r="O62" s="550"/>
      <c r="P62" s="189"/>
      <c r="Q62" s="189"/>
      <c r="R62" s="189"/>
      <c r="S62" s="189"/>
      <c r="T62" s="504"/>
      <c r="U62" s="189"/>
      <c r="V62" s="189"/>
      <c r="W62" s="189"/>
      <c r="X62" s="505"/>
    </row>
    <row r="63" spans="1:25" ht="9.9499999999999993" customHeight="1" thickBot="1" x14ac:dyDescent="0.35">
      <c r="A63" s="74"/>
      <c r="B63" s="402"/>
      <c r="C63" s="177"/>
      <c r="D63" s="177"/>
      <c r="E63" s="177"/>
      <c r="F63" s="177"/>
      <c r="G63" s="293"/>
      <c r="H63" s="177"/>
      <c r="I63" s="177"/>
      <c r="J63" s="177"/>
      <c r="K63" s="177"/>
      <c r="L63" s="196"/>
      <c r="M63" s="177"/>
      <c r="N63" s="177"/>
      <c r="O63" s="549"/>
      <c r="P63" s="177"/>
      <c r="Q63" s="177"/>
      <c r="R63" s="177"/>
      <c r="S63" s="177"/>
      <c r="T63" s="294"/>
      <c r="U63" s="177"/>
      <c r="V63" s="177"/>
      <c r="W63" s="177"/>
      <c r="X63" s="48"/>
    </row>
    <row r="64" spans="1:25" ht="18" thickBot="1" x14ac:dyDescent="0.35">
      <c r="A64" s="74"/>
      <c r="B64" s="292"/>
      <c r="C64" s="511">
        <f>'RICE Input'!C67</f>
        <v>100</v>
      </c>
      <c r="D64" s="285" t="s">
        <v>58</v>
      </c>
      <c r="E64" s="196"/>
      <c r="F64" s="215">
        <f>'RICE Input'!C71</f>
        <v>0.9</v>
      </c>
      <c r="G64" s="184" t="s">
        <v>153</v>
      </c>
      <c r="H64" s="491"/>
      <c r="I64" s="296">
        <f>'RICE Input'!C72</f>
        <v>0.75</v>
      </c>
      <c r="J64" s="184" t="s">
        <v>154</v>
      </c>
      <c r="K64" s="215">
        <f>'RICE Input'!C73</f>
        <v>0.7</v>
      </c>
      <c r="L64" s="184" t="s">
        <v>155</v>
      </c>
      <c r="M64" s="177"/>
      <c r="N64" s="177"/>
      <c r="O64" s="549"/>
      <c r="P64" s="512"/>
      <c r="Q64" s="779"/>
      <c r="R64" s="779"/>
      <c r="S64" s="779"/>
      <c r="T64" s="779"/>
      <c r="U64" s="177"/>
      <c r="V64" s="177"/>
      <c r="W64" s="177"/>
      <c r="X64" s="48"/>
    </row>
    <row r="65" spans="1:25" s="1" customFormat="1" ht="9.9499999999999993" customHeight="1" thickBot="1" x14ac:dyDescent="0.35">
      <c r="A65" s="74"/>
      <c r="B65" s="292"/>
      <c r="C65" s="431"/>
      <c r="D65" s="431"/>
      <c r="E65" s="431"/>
      <c r="F65" s="513">
        <f>100%-F64</f>
        <v>9.9999999999999978E-2</v>
      </c>
      <c r="G65" s="431"/>
      <c r="H65" s="202"/>
      <c r="I65" s="514">
        <f>100%-I64</f>
        <v>0.25</v>
      </c>
      <c r="J65" s="202"/>
      <c r="K65" s="515">
        <f>100%-K64</f>
        <v>0.30000000000000004</v>
      </c>
      <c r="L65" s="202"/>
      <c r="M65" s="177"/>
      <c r="N65" s="177"/>
      <c r="O65" s="196"/>
      <c r="P65" s="516"/>
      <c r="Q65" s="729"/>
      <c r="R65" s="729"/>
      <c r="S65" s="729"/>
      <c r="T65" s="729"/>
      <c r="U65" s="729"/>
      <c r="V65" s="729"/>
      <c r="W65" s="177"/>
      <c r="X65" s="48"/>
    </row>
    <row r="66" spans="1:25" s="3" customFormat="1" ht="18" thickBot="1" x14ac:dyDescent="0.35">
      <c r="A66" s="517"/>
      <c r="B66" s="521" t="s">
        <v>52</v>
      </c>
      <c r="C66" s="279">
        <f>'RICE Input'!C68</f>
        <v>10</v>
      </c>
      <c r="D66" s="297" t="s">
        <v>54</v>
      </c>
      <c r="E66" s="759" t="s">
        <v>2</v>
      </c>
      <c r="F66" s="795"/>
      <c r="G66" s="522">
        <f>C64</f>
        <v>100</v>
      </c>
      <c r="H66" s="204" t="s">
        <v>55</v>
      </c>
      <c r="I66" s="196" t="s">
        <v>2</v>
      </c>
      <c r="J66" s="298" t="s">
        <v>156</v>
      </c>
      <c r="K66" s="196" t="s">
        <v>0</v>
      </c>
      <c r="L66" s="279">
        <f>C66*G66/453.6</f>
        <v>2.204585537918871</v>
      </c>
      <c r="M66" s="331" t="s">
        <v>1</v>
      </c>
      <c r="N66" s="435" t="s">
        <v>2</v>
      </c>
      <c r="O66" s="523" t="str">
        <f>'RICE Input'!C66</f>
        <v>0</v>
      </c>
      <c r="P66" s="331" t="s">
        <v>37</v>
      </c>
      <c r="Q66" s="436" t="s">
        <v>2</v>
      </c>
      <c r="R66" s="278" t="s">
        <v>56</v>
      </c>
      <c r="S66" s="196" t="s">
        <v>0</v>
      </c>
      <c r="T66" s="524">
        <f>(L66*O66/2000)*F65</f>
        <v>0</v>
      </c>
      <c r="U66" s="204" t="s">
        <v>220</v>
      </c>
      <c r="V66" s="242"/>
      <c r="W66" s="177"/>
      <c r="X66" s="45"/>
    </row>
    <row r="67" spans="1:25" s="3" customFormat="1" ht="9.9499999999999993" customHeight="1" thickBot="1" x14ac:dyDescent="0.35">
      <c r="A67" s="517"/>
      <c r="B67" s="292"/>
      <c r="C67" s="525"/>
      <c r="D67" s="525"/>
      <c r="E67" s="525"/>
      <c r="F67" s="196"/>
      <c r="G67" s="518"/>
      <c r="H67" s="216"/>
      <c r="I67" s="196"/>
      <c r="J67" s="202"/>
      <c r="K67" s="196"/>
      <c r="L67" s="519"/>
      <c r="M67" s="520"/>
      <c r="N67" s="196"/>
      <c r="O67" s="526"/>
      <c r="P67" s="202"/>
      <c r="Q67" s="196"/>
      <c r="R67" s="196"/>
      <c r="S67" s="196"/>
      <c r="T67" s="527"/>
      <c r="U67" s="216"/>
      <c r="V67" s="216"/>
      <c r="W67" s="177"/>
      <c r="X67" s="45"/>
    </row>
    <row r="68" spans="1:25" s="3" customFormat="1" ht="18" thickBot="1" x14ac:dyDescent="0.35">
      <c r="A68" s="517"/>
      <c r="B68" s="521" t="s">
        <v>38</v>
      </c>
      <c r="C68" s="279">
        <f>'RICE Input'!C69</f>
        <v>5</v>
      </c>
      <c r="D68" s="299" t="s">
        <v>54</v>
      </c>
      <c r="E68" s="759" t="s">
        <v>2</v>
      </c>
      <c r="F68" s="795"/>
      <c r="G68" s="522">
        <f>C64</f>
        <v>100</v>
      </c>
      <c r="H68" s="204" t="s">
        <v>55</v>
      </c>
      <c r="I68" s="196" t="s">
        <v>2</v>
      </c>
      <c r="J68" s="298" t="s">
        <v>156</v>
      </c>
      <c r="K68" s="196" t="s">
        <v>0</v>
      </c>
      <c r="L68" s="279">
        <f>C68*G68/453.6</f>
        <v>1.1022927689594355</v>
      </c>
      <c r="M68" s="300" t="s">
        <v>1</v>
      </c>
      <c r="N68" s="435" t="s">
        <v>2</v>
      </c>
      <c r="O68" s="523" t="str">
        <f>O66</f>
        <v>0</v>
      </c>
      <c r="P68" s="300" t="s">
        <v>37</v>
      </c>
      <c r="Q68" s="436" t="s">
        <v>2</v>
      </c>
      <c r="R68" s="301" t="s">
        <v>56</v>
      </c>
      <c r="S68" s="196" t="s">
        <v>0</v>
      </c>
      <c r="T68" s="524">
        <f>(L68*O68/2000)*I65</f>
        <v>0</v>
      </c>
      <c r="U68" s="216" t="s">
        <v>219</v>
      </c>
      <c r="V68" s="204"/>
      <c r="W68" s="177"/>
      <c r="X68" s="45"/>
    </row>
    <row r="69" spans="1:25" s="3" customFormat="1" ht="9.9499999999999993" customHeight="1" thickBot="1" x14ac:dyDescent="0.35">
      <c r="A69" s="517"/>
      <c r="B69" s="177"/>
      <c r="C69" s="525"/>
      <c r="D69" s="525"/>
      <c r="E69" s="525"/>
      <c r="F69" s="196"/>
      <c r="G69" s="518"/>
      <c r="H69" s="177"/>
      <c r="I69" s="196"/>
      <c r="J69" s="202"/>
      <c r="K69" s="196"/>
      <c r="L69" s="519"/>
      <c r="M69" s="202"/>
      <c r="N69" s="196"/>
      <c r="O69" s="526"/>
      <c r="P69" s="202"/>
      <c r="Q69" s="196"/>
      <c r="R69" s="196"/>
      <c r="S69" s="196"/>
      <c r="T69" s="527"/>
      <c r="U69" s="177"/>
      <c r="V69" s="216"/>
      <c r="W69" s="177"/>
      <c r="X69" s="45"/>
    </row>
    <row r="70" spans="1:25" s="3" customFormat="1" ht="18" thickBot="1" x14ac:dyDescent="0.35">
      <c r="A70" s="517"/>
      <c r="B70" s="521" t="s">
        <v>45</v>
      </c>
      <c r="C70" s="279">
        <f>'RICE Input'!C70</f>
        <v>4</v>
      </c>
      <c r="D70" s="299" t="s">
        <v>54</v>
      </c>
      <c r="E70" s="759" t="s">
        <v>2</v>
      </c>
      <c r="F70" s="795"/>
      <c r="G70" s="522">
        <f>C64</f>
        <v>100</v>
      </c>
      <c r="H70" s="205" t="s">
        <v>55</v>
      </c>
      <c r="I70" s="436" t="s">
        <v>2</v>
      </c>
      <c r="J70" s="298" t="s">
        <v>156</v>
      </c>
      <c r="K70" s="196" t="s">
        <v>0</v>
      </c>
      <c r="L70" s="275">
        <f>C70*G70/453.6</f>
        <v>0.88183421516754845</v>
      </c>
      <c r="M70" s="300" t="s">
        <v>1</v>
      </c>
      <c r="N70" s="435" t="s">
        <v>2</v>
      </c>
      <c r="O70" s="528" t="str">
        <f>O66</f>
        <v>0</v>
      </c>
      <c r="P70" s="300" t="s">
        <v>37</v>
      </c>
      <c r="Q70" s="436" t="s">
        <v>2</v>
      </c>
      <c r="R70" s="278" t="s">
        <v>56</v>
      </c>
      <c r="S70" s="196" t="s">
        <v>0</v>
      </c>
      <c r="T70" s="524">
        <f>(L70*O70/2000)*K65</f>
        <v>0</v>
      </c>
      <c r="U70" s="205" t="s">
        <v>221</v>
      </c>
      <c r="V70" s="205"/>
      <c r="W70" s="207"/>
      <c r="X70" s="45"/>
    </row>
    <row r="71" spans="1:25" s="3" customFormat="1" ht="9.9499999999999993" customHeight="1" thickBot="1" x14ac:dyDescent="0.35">
      <c r="A71" s="529"/>
      <c r="B71" s="254"/>
      <c r="C71" s="254"/>
      <c r="D71" s="254"/>
      <c r="E71" s="254"/>
      <c r="F71" s="254"/>
      <c r="G71" s="507"/>
      <c r="H71" s="254"/>
      <c r="I71" s="254"/>
      <c r="J71" s="441"/>
      <c r="K71" s="254"/>
      <c r="L71" s="446"/>
      <c r="M71" s="339"/>
      <c r="N71" s="339"/>
      <c r="O71" s="530"/>
      <c r="P71" s="339"/>
      <c r="Q71" s="339"/>
      <c r="R71" s="254"/>
      <c r="S71" s="254"/>
      <c r="T71" s="446"/>
      <c r="U71" s="254"/>
      <c r="V71" s="254"/>
      <c r="W71" s="254"/>
      <c r="X71" s="531"/>
      <c r="Y71" s="42"/>
    </row>
    <row r="72" spans="1:25" s="23" customFormat="1" ht="9.9499999999999993" customHeight="1" thickTop="1" thickBot="1" x14ac:dyDescent="0.35">
      <c r="A72" s="20"/>
      <c r="B72" s="160"/>
      <c r="C72" s="320"/>
      <c r="D72" s="320"/>
      <c r="E72" s="320"/>
      <c r="F72" s="198"/>
      <c r="G72" s="302"/>
      <c r="H72" s="160"/>
      <c r="I72" s="198"/>
      <c r="J72" s="163"/>
      <c r="K72" s="198"/>
      <c r="L72" s="308"/>
      <c r="M72" s="163"/>
      <c r="N72" s="198"/>
      <c r="O72" s="321"/>
      <c r="P72" s="163"/>
      <c r="Q72" s="198"/>
      <c r="R72" s="163"/>
      <c r="S72" s="160"/>
      <c r="T72" s="303"/>
      <c r="U72" s="160"/>
      <c r="V72" s="160"/>
      <c r="W72" s="160"/>
      <c r="X72" s="20"/>
    </row>
    <row r="73" spans="1:25" ht="18" thickTop="1" x14ac:dyDescent="0.3">
      <c r="A73" s="502"/>
      <c r="B73" s="510" t="s">
        <v>200</v>
      </c>
      <c r="C73" s="189"/>
      <c r="D73" s="189"/>
      <c r="E73" s="189"/>
      <c r="F73" s="189"/>
      <c r="G73" s="503"/>
      <c r="H73" s="189"/>
      <c r="I73" s="189"/>
      <c r="J73" s="189"/>
      <c r="K73" s="189"/>
      <c r="L73" s="233"/>
      <c r="M73" s="189"/>
      <c r="N73" s="189"/>
      <c r="O73" s="550"/>
      <c r="P73" s="189"/>
      <c r="Q73" s="189"/>
      <c r="R73" s="189"/>
      <c r="S73" s="189"/>
      <c r="T73" s="504"/>
      <c r="U73" s="189"/>
      <c r="V73" s="189"/>
      <c r="W73" s="189"/>
      <c r="X73" s="505"/>
    </row>
    <row r="74" spans="1:25" ht="9.9499999999999993" customHeight="1" thickBot="1" x14ac:dyDescent="0.35">
      <c r="A74" s="74"/>
      <c r="B74" s="402"/>
      <c r="C74" s="177"/>
      <c r="D74" s="177"/>
      <c r="E74" s="177"/>
      <c r="F74" s="177"/>
      <c r="G74" s="293"/>
      <c r="H74" s="177"/>
      <c r="I74" s="177"/>
      <c r="J74" s="177"/>
      <c r="K74" s="177"/>
      <c r="L74" s="196"/>
      <c r="M74" s="177"/>
      <c r="N74" s="177"/>
      <c r="O74" s="549"/>
      <c r="P74" s="177"/>
      <c r="Q74" s="177"/>
      <c r="R74" s="177"/>
      <c r="S74" s="177"/>
      <c r="T74" s="294"/>
      <c r="U74" s="177"/>
      <c r="V74" s="177"/>
      <c r="W74" s="177"/>
      <c r="X74" s="48"/>
    </row>
    <row r="75" spans="1:25" ht="18" thickBot="1" x14ac:dyDescent="0.35">
      <c r="A75" s="74"/>
      <c r="B75" s="292"/>
      <c r="C75" s="511">
        <f>'RICE Input'!C77</f>
        <v>100</v>
      </c>
      <c r="D75" s="285" t="s">
        <v>58</v>
      </c>
      <c r="E75" s="196"/>
      <c r="F75" s="215">
        <f>'RICE Input'!C81</f>
        <v>0.9</v>
      </c>
      <c r="G75" s="184" t="s">
        <v>153</v>
      </c>
      <c r="H75" s="491"/>
      <c r="I75" s="296">
        <f>'RICE Input'!C82</f>
        <v>0.75</v>
      </c>
      <c r="J75" s="184" t="s">
        <v>154</v>
      </c>
      <c r="K75" s="215">
        <f>'RICE Input'!C83</f>
        <v>0.7</v>
      </c>
      <c r="L75" s="184" t="s">
        <v>155</v>
      </c>
      <c r="M75" s="177"/>
      <c r="N75" s="177"/>
      <c r="O75" s="549"/>
      <c r="P75" s="512"/>
      <c r="Q75" s="779"/>
      <c r="R75" s="779"/>
      <c r="S75" s="779"/>
      <c r="T75" s="779"/>
      <c r="U75" s="177"/>
      <c r="V75" s="177"/>
      <c r="W75" s="177"/>
      <c r="X75" s="48"/>
    </row>
    <row r="76" spans="1:25" s="1" customFormat="1" ht="9.9499999999999993" customHeight="1" thickBot="1" x14ac:dyDescent="0.35">
      <c r="A76" s="74"/>
      <c r="B76" s="292"/>
      <c r="C76" s="431"/>
      <c r="D76" s="431"/>
      <c r="E76" s="431"/>
      <c r="F76" s="513">
        <f>100%-F75</f>
        <v>9.9999999999999978E-2</v>
      </c>
      <c r="G76" s="431"/>
      <c r="H76" s="202"/>
      <c r="I76" s="514">
        <f>100%-I75</f>
        <v>0.25</v>
      </c>
      <c r="J76" s="202"/>
      <c r="K76" s="515">
        <f>100%-K75</f>
        <v>0.30000000000000004</v>
      </c>
      <c r="L76" s="202"/>
      <c r="M76" s="177"/>
      <c r="N76" s="177"/>
      <c r="O76" s="196"/>
      <c r="P76" s="516"/>
      <c r="Q76" s="729"/>
      <c r="R76" s="729"/>
      <c r="S76" s="729"/>
      <c r="T76" s="729"/>
      <c r="U76" s="729"/>
      <c r="V76" s="729"/>
      <c r="W76" s="177"/>
      <c r="X76" s="48"/>
    </row>
    <row r="77" spans="1:25" s="3" customFormat="1" ht="18" thickBot="1" x14ac:dyDescent="0.35">
      <c r="A77" s="517"/>
      <c r="B77" s="521" t="s">
        <v>52</v>
      </c>
      <c r="C77" s="279">
        <f>'RICE Input'!C78</f>
        <v>10</v>
      </c>
      <c r="D77" s="297" t="s">
        <v>54</v>
      </c>
      <c r="E77" s="759" t="s">
        <v>2</v>
      </c>
      <c r="F77" s="795"/>
      <c r="G77" s="522">
        <f>C75</f>
        <v>100</v>
      </c>
      <c r="H77" s="204" t="s">
        <v>55</v>
      </c>
      <c r="I77" s="196" t="s">
        <v>2</v>
      </c>
      <c r="J77" s="298" t="s">
        <v>156</v>
      </c>
      <c r="K77" s="196" t="s">
        <v>0</v>
      </c>
      <c r="L77" s="279">
        <f>C77*G77/453.6</f>
        <v>2.204585537918871</v>
      </c>
      <c r="M77" s="331" t="s">
        <v>1</v>
      </c>
      <c r="N77" s="435" t="s">
        <v>2</v>
      </c>
      <c r="O77" s="523" t="str">
        <f>'RICE Input'!C76</f>
        <v>0</v>
      </c>
      <c r="P77" s="331" t="s">
        <v>37</v>
      </c>
      <c r="Q77" s="436" t="s">
        <v>2</v>
      </c>
      <c r="R77" s="278" t="s">
        <v>56</v>
      </c>
      <c r="S77" s="196" t="s">
        <v>0</v>
      </c>
      <c r="T77" s="524">
        <f>(L77*O77/2000)*F76</f>
        <v>0</v>
      </c>
      <c r="U77" s="204" t="s">
        <v>220</v>
      </c>
      <c r="V77" s="242"/>
      <c r="W77" s="177"/>
      <c r="X77" s="45"/>
    </row>
    <row r="78" spans="1:25" s="3" customFormat="1" ht="9.9499999999999993" customHeight="1" thickBot="1" x14ac:dyDescent="0.35">
      <c r="A78" s="517"/>
      <c r="B78" s="292"/>
      <c r="C78" s="525"/>
      <c r="D78" s="525"/>
      <c r="E78" s="525"/>
      <c r="F78" s="196"/>
      <c r="G78" s="518"/>
      <c r="H78" s="216"/>
      <c r="I78" s="196"/>
      <c r="J78" s="202"/>
      <c r="K78" s="196"/>
      <c r="L78" s="519"/>
      <c r="M78" s="520"/>
      <c r="N78" s="196"/>
      <c r="O78" s="526"/>
      <c r="P78" s="202"/>
      <c r="Q78" s="196"/>
      <c r="R78" s="196"/>
      <c r="S78" s="196"/>
      <c r="T78" s="527"/>
      <c r="U78" s="216"/>
      <c r="V78" s="216"/>
      <c r="W78" s="177"/>
      <c r="X78" s="45"/>
    </row>
    <row r="79" spans="1:25" s="3" customFormat="1" ht="18" thickBot="1" x14ac:dyDescent="0.35">
      <c r="A79" s="517"/>
      <c r="B79" s="521" t="s">
        <v>38</v>
      </c>
      <c r="C79" s="279">
        <f>'RICE Input'!C79</f>
        <v>5</v>
      </c>
      <c r="D79" s="299" t="s">
        <v>54</v>
      </c>
      <c r="E79" s="759" t="s">
        <v>2</v>
      </c>
      <c r="F79" s="795"/>
      <c r="G79" s="522">
        <f>C75</f>
        <v>100</v>
      </c>
      <c r="H79" s="204" t="s">
        <v>55</v>
      </c>
      <c r="I79" s="196" t="s">
        <v>2</v>
      </c>
      <c r="J79" s="298" t="s">
        <v>156</v>
      </c>
      <c r="K79" s="196" t="s">
        <v>0</v>
      </c>
      <c r="L79" s="279">
        <f>C79*G79/453.6</f>
        <v>1.1022927689594355</v>
      </c>
      <c r="M79" s="300" t="s">
        <v>1</v>
      </c>
      <c r="N79" s="435" t="s">
        <v>2</v>
      </c>
      <c r="O79" s="523" t="str">
        <f>O77</f>
        <v>0</v>
      </c>
      <c r="P79" s="300" t="s">
        <v>37</v>
      </c>
      <c r="Q79" s="436" t="s">
        <v>2</v>
      </c>
      <c r="R79" s="301" t="s">
        <v>56</v>
      </c>
      <c r="S79" s="196" t="s">
        <v>0</v>
      </c>
      <c r="T79" s="524">
        <f>(L79*O79/2000)*I76</f>
        <v>0</v>
      </c>
      <c r="U79" s="216" t="s">
        <v>219</v>
      </c>
      <c r="V79" s="204"/>
      <c r="W79" s="177"/>
      <c r="X79" s="45"/>
    </row>
    <row r="80" spans="1:25" s="3" customFormat="1" ht="9.9499999999999993" customHeight="1" thickBot="1" x14ac:dyDescent="0.35">
      <c r="A80" s="517"/>
      <c r="B80" s="177"/>
      <c r="C80" s="525"/>
      <c r="D80" s="525"/>
      <c r="E80" s="525"/>
      <c r="F80" s="196"/>
      <c r="G80" s="518"/>
      <c r="H80" s="177"/>
      <c r="I80" s="196"/>
      <c r="J80" s="202"/>
      <c r="K80" s="196"/>
      <c r="L80" s="519"/>
      <c r="M80" s="202"/>
      <c r="N80" s="196"/>
      <c r="O80" s="526"/>
      <c r="P80" s="202"/>
      <c r="Q80" s="196"/>
      <c r="R80" s="196"/>
      <c r="S80" s="196"/>
      <c r="T80" s="527"/>
      <c r="U80" s="177"/>
      <c r="V80" s="216"/>
      <c r="W80" s="177"/>
      <c r="X80" s="45"/>
    </row>
    <row r="81" spans="1:25" s="3" customFormat="1" ht="18" thickBot="1" x14ac:dyDescent="0.35">
      <c r="A81" s="517"/>
      <c r="B81" s="521" t="s">
        <v>45</v>
      </c>
      <c r="C81" s="279">
        <f>'RICE Input'!C80</f>
        <v>4</v>
      </c>
      <c r="D81" s="299" t="s">
        <v>54</v>
      </c>
      <c r="E81" s="759" t="s">
        <v>2</v>
      </c>
      <c r="F81" s="795"/>
      <c r="G81" s="522">
        <f>C75</f>
        <v>100</v>
      </c>
      <c r="H81" s="205" t="s">
        <v>55</v>
      </c>
      <c r="I81" s="436" t="s">
        <v>2</v>
      </c>
      <c r="J81" s="298" t="s">
        <v>156</v>
      </c>
      <c r="K81" s="196" t="s">
        <v>0</v>
      </c>
      <c r="L81" s="275">
        <f>C81*G81/453.6</f>
        <v>0.88183421516754845</v>
      </c>
      <c r="M81" s="300" t="s">
        <v>1</v>
      </c>
      <c r="N81" s="435" t="s">
        <v>2</v>
      </c>
      <c r="O81" s="528" t="str">
        <f>O77</f>
        <v>0</v>
      </c>
      <c r="P81" s="300" t="s">
        <v>37</v>
      </c>
      <c r="Q81" s="436" t="s">
        <v>2</v>
      </c>
      <c r="R81" s="278" t="s">
        <v>56</v>
      </c>
      <c r="S81" s="196" t="s">
        <v>0</v>
      </c>
      <c r="T81" s="524">
        <f>(L81*O81/2000)*K76</f>
        <v>0</v>
      </c>
      <c r="U81" s="205" t="s">
        <v>221</v>
      </c>
      <c r="V81" s="205"/>
      <c r="W81" s="207"/>
      <c r="X81" s="45"/>
    </row>
    <row r="82" spans="1:25" s="3" customFormat="1" ht="9.9499999999999993" customHeight="1" thickBot="1" x14ac:dyDescent="0.35">
      <c r="A82" s="529"/>
      <c r="B82" s="254"/>
      <c r="C82" s="254"/>
      <c r="D82" s="254"/>
      <c r="E82" s="254"/>
      <c r="F82" s="254"/>
      <c r="G82" s="507"/>
      <c r="H82" s="254"/>
      <c r="I82" s="254"/>
      <c r="J82" s="441"/>
      <c r="K82" s="254"/>
      <c r="L82" s="446"/>
      <c r="M82" s="339"/>
      <c r="N82" s="339"/>
      <c r="O82" s="530"/>
      <c r="P82" s="339"/>
      <c r="Q82" s="339"/>
      <c r="R82" s="254"/>
      <c r="S82" s="254"/>
      <c r="T82" s="446"/>
      <c r="U82" s="254"/>
      <c r="V82" s="254"/>
      <c r="W82" s="254"/>
      <c r="X82" s="531"/>
      <c r="Y82" s="42"/>
    </row>
    <row r="83" spans="1:25" ht="9.9499999999999993" customHeight="1" thickTop="1" thickBot="1" x14ac:dyDescent="0.35">
      <c r="A83" s="68"/>
      <c r="B83" s="158"/>
      <c r="C83" s="315"/>
      <c r="D83" s="315"/>
      <c r="E83" s="315"/>
      <c r="F83" s="190"/>
      <c r="G83" s="316"/>
      <c r="H83" s="158"/>
      <c r="I83" s="190"/>
      <c r="J83" s="310"/>
      <c r="K83" s="190"/>
      <c r="L83" s="317"/>
      <c r="M83" s="310"/>
      <c r="N83" s="190"/>
      <c r="O83" s="318"/>
      <c r="P83" s="310"/>
      <c r="Q83" s="190"/>
      <c r="R83" s="310"/>
      <c r="S83" s="158"/>
      <c r="T83" s="319"/>
      <c r="U83" s="158"/>
      <c r="V83" s="158"/>
      <c r="W83" s="158"/>
      <c r="X83" s="68"/>
    </row>
    <row r="84" spans="1:25" ht="18" thickTop="1" x14ac:dyDescent="0.3">
      <c r="A84" s="502"/>
      <c r="B84" s="510" t="s">
        <v>201</v>
      </c>
      <c r="C84" s="189"/>
      <c r="D84" s="189"/>
      <c r="E84" s="189"/>
      <c r="F84" s="189"/>
      <c r="G84" s="503"/>
      <c r="H84" s="189"/>
      <c r="I84" s="189"/>
      <c r="J84" s="189"/>
      <c r="K84" s="189"/>
      <c r="L84" s="233"/>
      <c r="M84" s="189"/>
      <c r="N84" s="189"/>
      <c r="O84" s="550"/>
      <c r="P84" s="189"/>
      <c r="Q84" s="189"/>
      <c r="R84" s="189"/>
      <c r="S84" s="189"/>
      <c r="T84" s="504"/>
      <c r="U84" s="189"/>
      <c r="V84" s="189"/>
      <c r="W84" s="189"/>
      <c r="X84" s="505"/>
    </row>
    <row r="85" spans="1:25" ht="9.9499999999999993" customHeight="1" thickBot="1" x14ac:dyDescent="0.35">
      <c r="A85" s="74"/>
      <c r="B85" s="402"/>
      <c r="C85" s="177"/>
      <c r="D85" s="177"/>
      <c r="E85" s="177"/>
      <c r="F85" s="177"/>
      <c r="G85" s="293"/>
      <c r="H85" s="177"/>
      <c r="I85" s="177"/>
      <c r="J85" s="177"/>
      <c r="K85" s="177"/>
      <c r="L85" s="196"/>
      <c r="M85" s="177"/>
      <c r="N85" s="177"/>
      <c r="O85" s="549"/>
      <c r="P85" s="177"/>
      <c r="Q85" s="177"/>
      <c r="R85" s="177"/>
      <c r="S85" s="177"/>
      <c r="T85" s="294"/>
      <c r="U85" s="177"/>
      <c r="V85" s="177"/>
      <c r="W85" s="177"/>
      <c r="X85" s="48"/>
    </row>
    <row r="86" spans="1:25" ht="18" thickBot="1" x14ac:dyDescent="0.35">
      <c r="A86" s="74"/>
      <c r="B86" s="292"/>
      <c r="C86" s="511">
        <f>'RICE Input'!C87</f>
        <v>100</v>
      </c>
      <c r="D86" s="285" t="s">
        <v>58</v>
      </c>
      <c r="E86" s="196"/>
      <c r="F86" s="215">
        <f>'RICE Input'!C91</f>
        <v>0.9</v>
      </c>
      <c r="G86" s="184" t="s">
        <v>153</v>
      </c>
      <c r="H86" s="491"/>
      <c r="I86" s="296">
        <f>'RICE Input'!C92</f>
        <v>0.75</v>
      </c>
      <c r="J86" s="184" t="s">
        <v>154</v>
      </c>
      <c r="K86" s="215">
        <f>'RICE Input'!C93</f>
        <v>0.7</v>
      </c>
      <c r="L86" s="184" t="s">
        <v>155</v>
      </c>
      <c r="M86" s="177"/>
      <c r="N86" s="177"/>
      <c r="O86" s="549"/>
      <c r="P86" s="512"/>
      <c r="Q86" s="779"/>
      <c r="R86" s="779"/>
      <c r="S86" s="779"/>
      <c r="T86" s="779"/>
      <c r="U86" s="177"/>
      <c r="V86" s="177"/>
      <c r="W86" s="177"/>
      <c r="X86" s="48"/>
    </row>
    <row r="87" spans="1:25" s="1" customFormat="1" ht="9.9499999999999993" customHeight="1" thickBot="1" x14ac:dyDescent="0.35">
      <c r="A87" s="74"/>
      <c r="B87" s="292"/>
      <c r="C87" s="431"/>
      <c r="D87" s="431"/>
      <c r="E87" s="431"/>
      <c r="F87" s="513">
        <f>100%-F86</f>
        <v>9.9999999999999978E-2</v>
      </c>
      <c r="G87" s="431"/>
      <c r="H87" s="202"/>
      <c r="I87" s="514">
        <f>100%-I86</f>
        <v>0.25</v>
      </c>
      <c r="J87" s="202"/>
      <c r="K87" s="515">
        <f>100%-K86</f>
        <v>0.30000000000000004</v>
      </c>
      <c r="L87" s="202"/>
      <c r="M87" s="177"/>
      <c r="N87" s="177"/>
      <c r="O87" s="196"/>
      <c r="P87" s="516"/>
      <c r="Q87" s="729"/>
      <c r="R87" s="729"/>
      <c r="S87" s="729"/>
      <c r="T87" s="729"/>
      <c r="U87" s="729"/>
      <c r="V87" s="729"/>
      <c r="W87" s="177"/>
      <c r="X87" s="48"/>
    </row>
    <row r="88" spans="1:25" s="3" customFormat="1" ht="18" thickBot="1" x14ac:dyDescent="0.35">
      <c r="A88" s="517"/>
      <c r="B88" s="521" t="s">
        <v>52</v>
      </c>
      <c r="C88" s="279">
        <f>'RICE Input'!C88</f>
        <v>10</v>
      </c>
      <c r="D88" s="297" t="s">
        <v>54</v>
      </c>
      <c r="E88" s="759" t="s">
        <v>2</v>
      </c>
      <c r="F88" s="795"/>
      <c r="G88" s="522">
        <f>C86</f>
        <v>100</v>
      </c>
      <c r="H88" s="204" t="s">
        <v>55</v>
      </c>
      <c r="I88" s="196" t="s">
        <v>2</v>
      </c>
      <c r="J88" s="298" t="s">
        <v>156</v>
      </c>
      <c r="K88" s="196" t="s">
        <v>0</v>
      </c>
      <c r="L88" s="279">
        <f>C88*G88/453.6</f>
        <v>2.204585537918871</v>
      </c>
      <c r="M88" s="331" t="s">
        <v>1</v>
      </c>
      <c r="N88" s="435" t="s">
        <v>2</v>
      </c>
      <c r="O88" s="523" t="str">
        <f>'RICE Input'!C86</f>
        <v>0</v>
      </c>
      <c r="P88" s="331" t="s">
        <v>37</v>
      </c>
      <c r="Q88" s="436" t="s">
        <v>2</v>
      </c>
      <c r="R88" s="278" t="s">
        <v>56</v>
      </c>
      <c r="S88" s="196" t="s">
        <v>0</v>
      </c>
      <c r="T88" s="524">
        <f>(L88*O88/2000)*F87</f>
        <v>0</v>
      </c>
      <c r="U88" s="204" t="s">
        <v>220</v>
      </c>
      <c r="V88" s="242"/>
      <c r="W88" s="177"/>
      <c r="X88" s="45"/>
    </row>
    <row r="89" spans="1:25" s="3" customFormat="1" ht="9.9499999999999993" customHeight="1" thickBot="1" x14ac:dyDescent="0.35">
      <c r="A89" s="517"/>
      <c r="B89" s="292"/>
      <c r="C89" s="525"/>
      <c r="D89" s="525"/>
      <c r="E89" s="525"/>
      <c r="F89" s="196"/>
      <c r="G89" s="518"/>
      <c r="H89" s="216"/>
      <c r="I89" s="196"/>
      <c r="J89" s="202"/>
      <c r="K89" s="196"/>
      <c r="L89" s="519"/>
      <c r="M89" s="520"/>
      <c r="N89" s="196"/>
      <c r="O89" s="526"/>
      <c r="P89" s="202"/>
      <c r="Q89" s="196"/>
      <c r="R89" s="196"/>
      <c r="S89" s="196"/>
      <c r="T89" s="527"/>
      <c r="U89" s="216"/>
      <c r="V89" s="216"/>
      <c r="W89" s="177"/>
      <c r="X89" s="45"/>
    </row>
    <row r="90" spans="1:25" s="3" customFormat="1" ht="18" thickBot="1" x14ac:dyDescent="0.35">
      <c r="A90" s="517"/>
      <c r="B90" s="521" t="s">
        <v>38</v>
      </c>
      <c r="C90" s="279">
        <f>'RICE Input'!C89</f>
        <v>5</v>
      </c>
      <c r="D90" s="299" t="s">
        <v>54</v>
      </c>
      <c r="E90" s="759" t="s">
        <v>2</v>
      </c>
      <c r="F90" s="795"/>
      <c r="G90" s="522">
        <f>C86</f>
        <v>100</v>
      </c>
      <c r="H90" s="204" t="s">
        <v>55</v>
      </c>
      <c r="I90" s="196" t="s">
        <v>2</v>
      </c>
      <c r="J90" s="298" t="s">
        <v>156</v>
      </c>
      <c r="K90" s="196" t="s">
        <v>0</v>
      </c>
      <c r="L90" s="279">
        <f>C90*G90/453.6</f>
        <v>1.1022927689594355</v>
      </c>
      <c r="M90" s="300" t="s">
        <v>1</v>
      </c>
      <c r="N90" s="435" t="s">
        <v>2</v>
      </c>
      <c r="O90" s="523" t="str">
        <f>O88</f>
        <v>0</v>
      </c>
      <c r="P90" s="300" t="s">
        <v>37</v>
      </c>
      <c r="Q90" s="436" t="s">
        <v>2</v>
      </c>
      <c r="R90" s="301" t="s">
        <v>56</v>
      </c>
      <c r="S90" s="196" t="s">
        <v>0</v>
      </c>
      <c r="T90" s="524">
        <f>(L90*O90/2000)*I87</f>
        <v>0</v>
      </c>
      <c r="U90" s="216" t="s">
        <v>219</v>
      </c>
      <c r="V90" s="204"/>
      <c r="W90" s="177"/>
      <c r="X90" s="45"/>
    </row>
    <row r="91" spans="1:25" s="3" customFormat="1" ht="9.9499999999999993" customHeight="1" thickBot="1" x14ac:dyDescent="0.35">
      <c r="A91" s="517"/>
      <c r="B91" s="177"/>
      <c r="C91" s="525"/>
      <c r="D91" s="525"/>
      <c r="E91" s="525"/>
      <c r="F91" s="196"/>
      <c r="G91" s="518"/>
      <c r="H91" s="177"/>
      <c r="I91" s="196"/>
      <c r="J91" s="202"/>
      <c r="K91" s="196"/>
      <c r="L91" s="519"/>
      <c r="M91" s="202"/>
      <c r="N91" s="196"/>
      <c r="O91" s="526"/>
      <c r="P91" s="202"/>
      <c r="Q91" s="196"/>
      <c r="R91" s="196"/>
      <c r="S91" s="196"/>
      <c r="T91" s="527"/>
      <c r="U91" s="177"/>
      <c r="V91" s="216"/>
      <c r="W91" s="177"/>
      <c r="X91" s="45"/>
    </row>
    <row r="92" spans="1:25" s="3" customFormat="1" ht="18" thickBot="1" x14ac:dyDescent="0.35">
      <c r="A92" s="517"/>
      <c r="B92" s="521" t="s">
        <v>45</v>
      </c>
      <c r="C92" s="279">
        <f>'RICE Input'!C90</f>
        <v>4</v>
      </c>
      <c r="D92" s="299" t="s">
        <v>54</v>
      </c>
      <c r="E92" s="759" t="s">
        <v>2</v>
      </c>
      <c r="F92" s="795"/>
      <c r="G92" s="522">
        <f>C86</f>
        <v>100</v>
      </c>
      <c r="H92" s="205" t="s">
        <v>55</v>
      </c>
      <c r="I92" s="436" t="s">
        <v>2</v>
      </c>
      <c r="J92" s="298" t="s">
        <v>156</v>
      </c>
      <c r="K92" s="196" t="s">
        <v>0</v>
      </c>
      <c r="L92" s="275">
        <f>C92*G92/453.6</f>
        <v>0.88183421516754845</v>
      </c>
      <c r="M92" s="300" t="s">
        <v>1</v>
      </c>
      <c r="N92" s="435" t="s">
        <v>2</v>
      </c>
      <c r="O92" s="528" t="str">
        <f>O88</f>
        <v>0</v>
      </c>
      <c r="P92" s="300" t="s">
        <v>37</v>
      </c>
      <c r="Q92" s="436" t="s">
        <v>2</v>
      </c>
      <c r="R92" s="278" t="s">
        <v>56</v>
      </c>
      <c r="S92" s="196" t="s">
        <v>0</v>
      </c>
      <c r="T92" s="524">
        <f>(L92*O92/2000)*K87</f>
        <v>0</v>
      </c>
      <c r="U92" s="205" t="s">
        <v>221</v>
      </c>
      <c r="V92" s="205"/>
      <c r="W92" s="207"/>
      <c r="X92" s="45"/>
    </row>
    <row r="93" spans="1:25" s="3" customFormat="1" ht="9.9499999999999993" customHeight="1" thickBot="1" x14ac:dyDescent="0.35">
      <c r="A93" s="529"/>
      <c r="B93" s="254"/>
      <c r="C93" s="254"/>
      <c r="D93" s="254"/>
      <c r="E93" s="254"/>
      <c r="F93" s="254"/>
      <c r="G93" s="507"/>
      <c r="H93" s="254"/>
      <c r="I93" s="254"/>
      <c r="J93" s="441"/>
      <c r="K93" s="254"/>
      <c r="L93" s="446"/>
      <c r="M93" s="339"/>
      <c r="N93" s="339"/>
      <c r="O93" s="530"/>
      <c r="P93" s="339"/>
      <c r="Q93" s="339"/>
      <c r="R93" s="254"/>
      <c r="S93" s="254"/>
      <c r="T93" s="446"/>
      <c r="U93" s="254"/>
      <c r="V93" s="254"/>
      <c r="W93" s="254"/>
      <c r="X93" s="531"/>
      <c r="Y93" s="42"/>
    </row>
    <row r="94" spans="1:25" ht="9.9499999999999993" customHeight="1" thickTop="1" thickBot="1" x14ac:dyDescent="0.35">
      <c r="A94" s="73"/>
      <c r="B94" s="158"/>
      <c r="C94" s="315"/>
      <c r="D94" s="315"/>
      <c r="E94" s="315"/>
      <c r="F94" s="190"/>
      <c r="G94" s="316"/>
      <c r="H94" s="158"/>
      <c r="I94" s="190"/>
      <c r="J94" s="310"/>
      <c r="K94" s="190"/>
      <c r="L94" s="317"/>
      <c r="M94" s="310"/>
      <c r="N94" s="190"/>
      <c r="O94" s="318"/>
      <c r="P94" s="310"/>
      <c r="Q94" s="190"/>
      <c r="R94" s="310"/>
      <c r="S94" s="158"/>
      <c r="T94" s="319"/>
      <c r="U94" s="158"/>
      <c r="V94" s="158"/>
      <c r="W94" s="158"/>
      <c r="X94" s="73"/>
    </row>
    <row r="95" spans="1:25" ht="18" thickTop="1" x14ac:dyDescent="0.3">
      <c r="A95" s="502"/>
      <c r="B95" s="510" t="s">
        <v>202</v>
      </c>
      <c r="C95" s="189"/>
      <c r="D95" s="189"/>
      <c r="E95" s="189"/>
      <c r="F95" s="189"/>
      <c r="G95" s="503"/>
      <c r="H95" s="189"/>
      <c r="I95" s="189"/>
      <c r="J95" s="189"/>
      <c r="K95" s="189"/>
      <c r="L95" s="233"/>
      <c r="M95" s="189"/>
      <c r="N95" s="189"/>
      <c r="O95" s="550"/>
      <c r="P95" s="189"/>
      <c r="Q95" s="189"/>
      <c r="R95" s="189"/>
      <c r="S95" s="189"/>
      <c r="T95" s="504"/>
      <c r="U95" s="189"/>
      <c r="V95" s="189"/>
      <c r="W95" s="189"/>
      <c r="X95" s="505"/>
    </row>
    <row r="96" spans="1:25" ht="9.9499999999999993" customHeight="1" thickBot="1" x14ac:dyDescent="0.35">
      <c r="A96" s="74"/>
      <c r="B96" s="402"/>
      <c r="C96" s="177"/>
      <c r="D96" s="177"/>
      <c r="E96" s="177"/>
      <c r="F96" s="177"/>
      <c r="G96" s="293"/>
      <c r="H96" s="177"/>
      <c r="I96" s="177"/>
      <c r="J96" s="177"/>
      <c r="K96" s="177"/>
      <c r="L96" s="196"/>
      <c r="M96" s="177"/>
      <c r="N96" s="177"/>
      <c r="O96" s="549"/>
      <c r="P96" s="177"/>
      <c r="Q96" s="177"/>
      <c r="R96" s="177"/>
      <c r="S96" s="177"/>
      <c r="T96" s="294"/>
      <c r="U96" s="177"/>
      <c r="V96" s="177"/>
      <c r="W96" s="177"/>
      <c r="X96" s="48"/>
    </row>
    <row r="97" spans="1:25" ht="18" thickBot="1" x14ac:dyDescent="0.35">
      <c r="A97" s="74"/>
      <c r="B97" s="292"/>
      <c r="C97" s="511">
        <f>'RICE Input'!C97</f>
        <v>100</v>
      </c>
      <c r="D97" s="285" t="s">
        <v>58</v>
      </c>
      <c r="E97" s="196"/>
      <c r="F97" s="215">
        <f>'RICE Input'!C101</f>
        <v>0.9</v>
      </c>
      <c r="G97" s="184" t="s">
        <v>153</v>
      </c>
      <c r="H97" s="491"/>
      <c r="I97" s="296">
        <f>'RICE Input'!C102</f>
        <v>0.75</v>
      </c>
      <c r="J97" s="184" t="s">
        <v>154</v>
      </c>
      <c r="K97" s="215">
        <f>'RICE Input'!C103</f>
        <v>0.7</v>
      </c>
      <c r="L97" s="184" t="s">
        <v>155</v>
      </c>
      <c r="M97" s="177"/>
      <c r="N97" s="177"/>
      <c r="O97" s="549"/>
      <c r="P97" s="512"/>
      <c r="Q97" s="779"/>
      <c r="R97" s="779"/>
      <c r="S97" s="779"/>
      <c r="T97" s="779"/>
      <c r="U97" s="177"/>
      <c r="V97" s="177"/>
      <c r="W97" s="177"/>
      <c r="X97" s="48"/>
    </row>
    <row r="98" spans="1:25" s="1" customFormat="1" ht="9.9499999999999993" customHeight="1" thickBot="1" x14ac:dyDescent="0.35">
      <c r="A98" s="74"/>
      <c r="B98" s="292"/>
      <c r="C98" s="431"/>
      <c r="D98" s="431"/>
      <c r="E98" s="431"/>
      <c r="F98" s="513">
        <f>100%-F97</f>
        <v>9.9999999999999978E-2</v>
      </c>
      <c r="G98" s="431"/>
      <c r="H98" s="202"/>
      <c r="I98" s="514">
        <f>100%-I97</f>
        <v>0.25</v>
      </c>
      <c r="J98" s="202"/>
      <c r="K98" s="515">
        <f>100%-K97</f>
        <v>0.30000000000000004</v>
      </c>
      <c r="L98" s="202"/>
      <c r="M98" s="177"/>
      <c r="N98" s="177"/>
      <c r="O98" s="196"/>
      <c r="P98" s="516"/>
      <c r="Q98" s="729"/>
      <c r="R98" s="729"/>
      <c r="S98" s="729"/>
      <c r="T98" s="729"/>
      <c r="U98" s="729"/>
      <c r="V98" s="729"/>
      <c r="W98" s="177"/>
      <c r="X98" s="48"/>
    </row>
    <row r="99" spans="1:25" s="3" customFormat="1" ht="18" thickBot="1" x14ac:dyDescent="0.35">
      <c r="A99" s="517"/>
      <c r="B99" s="521" t="s">
        <v>52</v>
      </c>
      <c r="C99" s="279">
        <f>'RICE Input'!C98</f>
        <v>10</v>
      </c>
      <c r="D99" s="297" t="s">
        <v>54</v>
      </c>
      <c r="E99" s="759" t="s">
        <v>2</v>
      </c>
      <c r="F99" s="795"/>
      <c r="G99" s="522">
        <f>C97</f>
        <v>100</v>
      </c>
      <c r="H99" s="204" t="s">
        <v>55</v>
      </c>
      <c r="I99" s="196" t="s">
        <v>2</v>
      </c>
      <c r="J99" s="298" t="s">
        <v>156</v>
      </c>
      <c r="K99" s="196" t="s">
        <v>0</v>
      </c>
      <c r="L99" s="279">
        <f>C99*G99/453.6</f>
        <v>2.204585537918871</v>
      </c>
      <c r="M99" s="331" t="s">
        <v>1</v>
      </c>
      <c r="N99" s="435" t="s">
        <v>2</v>
      </c>
      <c r="O99" s="523" t="str">
        <f>'RICE Input'!C96</f>
        <v>0</v>
      </c>
      <c r="P99" s="331" t="s">
        <v>37</v>
      </c>
      <c r="Q99" s="436" t="s">
        <v>2</v>
      </c>
      <c r="R99" s="278" t="s">
        <v>56</v>
      </c>
      <c r="S99" s="196" t="s">
        <v>0</v>
      </c>
      <c r="T99" s="524">
        <f>(L99*O99/2000)*F98</f>
        <v>0</v>
      </c>
      <c r="U99" s="204" t="s">
        <v>220</v>
      </c>
      <c r="V99" s="242"/>
      <c r="W99" s="177"/>
      <c r="X99" s="45"/>
    </row>
    <row r="100" spans="1:25" s="3" customFormat="1" ht="9.9499999999999993" customHeight="1" thickBot="1" x14ac:dyDescent="0.35">
      <c r="A100" s="517"/>
      <c r="B100" s="292"/>
      <c r="C100" s="525"/>
      <c r="D100" s="525"/>
      <c r="E100" s="525"/>
      <c r="F100" s="196"/>
      <c r="G100" s="518"/>
      <c r="H100" s="216"/>
      <c r="I100" s="196"/>
      <c r="J100" s="202"/>
      <c r="K100" s="196"/>
      <c r="L100" s="519"/>
      <c r="M100" s="520"/>
      <c r="N100" s="196"/>
      <c r="O100" s="526"/>
      <c r="P100" s="202"/>
      <c r="Q100" s="196"/>
      <c r="R100" s="196"/>
      <c r="S100" s="196"/>
      <c r="T100" s="527"/>
      <c r="U100" s="216"/>
      <c r="V100" s="216"/>
      <c r="W100" s="177"/>
      <c r="X100" s="45"/>
    </row>
    <row r="101" spans="1:25" s="3" customFormat="1" ht="18" thickBot="1" x14ac:dyDescent="0.35">
      <c r="A101" s="517"/>
      <c r="B101" s="521" t="s">
        <v>38</v>
      </c>
      <c r="C101" s="279">
        <f>'RICE Input'!C99</f>
        <v>5</v>
      </c>
      <c r="D101" s="299" t="s">
        <v>54</v>
      </c>
      <c r="E101" s="759" t="s">
        <v>2</v>
      </c>
      <c r="F101" s="795"/>
      <c r="G101" s="522">
        <f>C97</f>
        <v>100</v>
      </c>
      <c r="H101" s="204" t="s">
        <v>55</v>
      </c>
      <c r="I101" s="196" t="s">
        <v>2</v>
      </c>
      <c r="J101" s="298" t="s">
        <v>156</v>
      </c>
      <c r="K101" s="196" t="s">
        <v>0</v>
      </c>
      <c r="L101" s="279">
        <f>C101*G101/453.6</f>
        <v>1.1022927689594355</v>
      </c>
      <c r="M101" s="300" t="s">
        <v>1</v>
      </c>
      <c r="N101" s="435" t="s">
        <v>2</v>
      </c>
      <c r="O101" s="523" t="str">
        <f>O99</f>
        <v>0</v>
      </c>
      <c r="P101" s="300" t="s">
        <v>37</v>
      </c>
      <c r="Q101" s="436" t="s">
        <v>2</v>
      </c>
      <c r="R101" s="301" t="s">
        <v>56</v>
      </c>
      <c r="S101" s="196" t="s">
        <v>0</v>
      </c>
      <c r="T101" s="524">
        <f>(L101*O101/2000)*I98</f>
        <v>0</v>
      </c>
      <c r="U101" s="216" t="s">
        <v>219</v>
      </c>
      <c r="V101" s="204"/>
      <c r="W101" s="177"/>
      <c r="X101" s="45"/>
    </row>
    <row r="102" spans="1:25" s="3" customFormat="1" ht="9.9499999999999993" customHeight="1" thickBot="1" x14ac:dyDescent="0.35">
      <c r="A102" s="517"/>
      <c r="B102" s="177"/>
      <c r="C102" s="525"/>
      <c r="D102" s="525"/>
      <c r="E102" s="525"/>
      <c r="F102" s="196"/>
      <c r="G102" s="518"/>
      <c r="H102" s="177"/>
      <c r="I102" s="196"/>
      <c r="J102" s="202"/>
      <c r="K102" s="196"/>
      <c r="L102" s="519"/>
      <c r="M102" s="202"/>
      <c r="N102" s="196"/>
      <c r="O102" s="526"/>
      <c r="P102" s="202"/>
      <c r="Q102" s="196"/>
      <c r="R102" s="196"/>
      <c r="S102" s="196"/>
      <c r="T102" s="527"/>
      <c r="U102" s="177"/>
      <c r="V102" s="216"/>
      <c r="W102" s="177"/>
      <c r="X102" s="45"/>
    </row>
    <row r="103" spans="1:25" s="3" customFormat="1" ht="18" thickBot="1" x14ac:dyDescent="0.35">
      <c r="A103" s="517"/>
      <c r="B103" s="521" t="s">
        <v>45</v>
      </c>
      <c r="C103" s="279">
        <f>'RICE Input'!C100</f>
        <v>4</v>
      </c>
      <c r="D103" s="299" t="s">
        <v>54</v>
      </c>
      <c r="E103" s="759" t="s">
        <v>2</v>
      </c>
      <c r="F103" s="795"/>
      <c r="G103" s="522">
        <f>C97</f>
        <v>100</v>
      </c>
      <c r="H103" s="205" t="s">
        <v>55</v>
      </c>
      <c r="I103" s="436" t="s">
        <v>2</v>
      </c>
      <c r="J103" s="298" t="s">
        <v>156</v>
      </c>
      <c r="K103" s="196" t="s">
        <v>0</v>
      </c>
      <c r="L103" s="275">
        <f>C103*G103/453.6</f>
        <v>0.88183421516754845</v>
      </c>
      <c r="M103" s="300" t="s">
        <v>1</v>
      </c>
      <c r="N103" s="435" t="s">
        <v>2</v>
      </c>
      <c r="O103" s="528" t="str">
        <f>O99</f>
        <v>0</v>
      </c>
      <c r="P103" s="300" t="s">
        <v>37</v>
      </c>
      <c r="Q103" s="436" t="s">
        <v>2</v>
      </c>
      <c r="R103" s="278" t="s">
        <v>56</v>
      </c>
      <c r="S103" s="196" t="s">
        <v>0</v>
      </c>
      <c r="T103" s="524">
        <f>(L103*O103/2000)*K98</f>
        <v>0</v>
      </c>
      <c r="U103" s="205" t="s">
        <v>221</v>
      </c>
      <c r="V103" s="205"/>
      <c r="W103" s="207"/>
      <c r="X103" s="45"/>
    </row>
    <row r="104" spans="1:25" s="3" customFormat="1" ht="9.9499999999999993" customHeight="1" thickBot="1" x14ac:dyDescent="0.35">
      <c r="A104" s="529"/>
      <c r="B104" s="254"/>
      <c r="C104" s="254"/>
      <c r="D104" s="254"/>
      <c r="E104" s="254"/>
      <c r="F104" s="254"/>
      <c r="G104" s="507"/>
      <c r="H104" s="254"/>
      <c r="I104" s="254"/>
      <c r="J104" s="441"/>
      <c r="K104" s="254"/>
      <c r="L104" s="446"/>
      <c r="M104" s="339"/>
      <c r="N104" s="339"/>
      <c r="O104" s="530"/>
      <c r="P104" s="339"/>
      <c r="Q104" s="339"/>
      <c r="R104" s="254"/>
      <c r="S104" s="254"/>
      <c r="T104" s="446"/>
      <c r="U104" s="254"/>
      <c r="V104" s="254"/>
      <c r="W104" s="254"/>
      <c r="X104" s="531"/>
      <c r="Y104" s="42"/>
    </row>
    <row r="105" spans="1:25" ht="9.9499999999999993" customHeight="1" thickTop="1" thickBot="1" x14ac:dyDescent="0.35">
      <c r="A105" s="20"/>
      <c r="B105" s="158"/>
      <c r="C105" s="315"/>
      <c r="D105" s="315"/>
      <c r="E105" s="315"/>
      <c r="F105" s="190"/>
      <c r="G105" s="316"/>
      <c r="H105" s="158"/>
      <c r="I105" s="190"/>
      <c r="J105" s="310"/>
      <c r="K105" s="190"/>
      <c r="L105" s="317"/>
      <c r="M105" s="310"/>
      <c r="N105" s="190"/>
      <c r="O105" s="318"/>
      <c r="P105" s="310"/>
      <c r="Q105" s="190"/>
      <c r="R105" s="310"/>
      <c r="S105" s="158"/>
      <c r="T105" s="319"/>
      <c r="U105" s="158"/>
      <c r="V105" s="158"/>
      <c r="W105" s="158"/>
      <c r="X105" s="20"/>
    </row>
    <row r="106" spans="1:25" ht="18" thickTop="1" x14ac:dyDescent="0.3">
      <c r="A106" s="502"/>
      <c r="B106" s="510" t="s">
        <v>203</v>
      </c>
      <c r="C106" s="189"/>
      <c r="D106" s="189"/>
      <c r="E106" s="189"/>
      <c r="F106" s="189"/>
      <c r="G106" s="503"/>
      <c r="H106" s="189"/>
      <c r="I106" s="189"/>
      <c r="J106" s="189"/>
      <c r="K106" s="189"/>
      <c r="L106" s="233"/>
      <c r="M106" s="189"/>
      <c r="N106" s="189"/>
      <c r="O106" s="550"/>
      <c r="P106" s="189"/>
      <c r="Q106" s="189"/>
      <c r="R106" s="189"/>
      <c r="S106" s="189"/>
      <c r="T106" s="504"/>
      <c r="U106" s="189"/>
      <c r="V106" s="189"/>
      <c r="W106" s="189"/>
      <c r="X106" s="505"/>
    </row>
    <row r="107" spans="1:25" ht="9.9499999999999993" customHeight="1" thickBot="1" x14ac:dyDescent="0.35">
      <c r="A107" s="74"/>
      <c r="B107" s="402"/>
      <c r="C107" s="177"/>
      <c r="D107" s="177"/>
      <c r="E107" s="177"/>
      <c r="F107" s="177"/>
      <c r="G107" s="293"/>
      <c r="H107" s="177"/>
      <c r="I107" s="177"/>
      <c r="J107" s="177"/>
      <c r="K107" s="177"/>
      <c r="L107" s="196"/>
      <c r="M107" s="177"/>
      <c r="N107" s="177"/>
      <c r="O107" s="549"/>
      <c r="P107" s="177"/>
      <c r="Q107" s="177"/>
      <c r="R107" s="177"/>
      <c r="S107" s="177"/>
      <c r="T107" s="294"/>
      <c r="U107" s="177"/>
      <c r="V107" s="177"/>
      <c r="W107" s="177"/>
      <c r="X107" s="48"/>
    </row>
    <row r="108" spans="1:25" ht="18" thickBot="1" x14ac:dyDescent="0.35">
      <c r="A108" s="74"/>
      <c r="B108" s="292"/>
      <c r="C108" s="511">
        <f>'RICE Input'!C107</f>
        <v>100</v>
      </c>
      <c r="D108" s="285" t="s">
        <v>58</v>
      </c>
      <c r="E108" s="196"/>
      <c r="F108" s="215">
        <f>'RICE Input'!C111</f>
        <v>0.9</v>
      </c>
      <c r="G108" s="184" t="s">
        <v>153</v>
      </c>
      <c r="H108" s="491"/>
      <c r="I108" s="296">
        <f>'RICE Input'!C112</f>
        <v>0.75</v>
      </c>
      <c r="J108" s="184" t="s">
        <v>154</v>
      </c>
      <c r="K108" s="215">
        <f>'RICE Input'!C113</f>
        <v>0.7</v>
      </c>
      <c r="L108" s="184" t="s">
        <v>155</v>
      </c>
      <c r="M108" s="177"/>
      <c r="N108" s="177"/>
      <c r="O108" s="549"/>
      <c r="P108" s="512"/>
      <c r="Q108" s="779"/>
      <c r="R108" s="779"/>
      <c r="S108" s="779"/>
      <c r="T108" s="779"/>
      <c r="U108" s="177"/>
      <c r="V108" s="177"/>
      <c r="W108" s="177"/>
      <c r="X108" s="48"/>
    </row>
    <row r="109" spans="1:25" s="1" customFormat="1" ht="9.9499999999999993" customHeight="1" thickBot="1" x14ac:dyDescent="0.35">
      <c r="A109" s="74"/>
      <c r="B109" s="292"/>
      <c r="C109" s="431"/>
      <c r="D109" s="431"/>
      <c r="E109" s="431"/>
      <c r="F109" s="513">
        <f>100%-F108</f>
        <v>9.9999999999999978E-2</v>
      </c>
      <c r="G109" s="431"/>
      <c r="H109" s="202"/>
      <c r="I109" s="514">
        <f>100%-I108</f>
        <v>0.25</v>
      </c>
      <c r="J109" s="202"/>
      <c r="K109" s="515">
        <f>100%-K108</f>
        <v>0.30000000000000004</v>
      </c>
      <c r="L109" s="202"/>
      <c r="M109" s="177"/>
      <c r="N109" s="177"/>
      <c r="O109" s="196"/>
      <c r="P109" s="516"/>
      <c r="Q109" s="729"/>
      <c r="R109" s="729"/>
      <c r="S109" s="729"/>
      <c r="T109" s="729"/>
      <c r="U109" s="729"/>
      <c r="V109" s="729"/>
      <c r="W109" s="177"/>
      <c r="X109" s="48"/>
    </row>
    <row r="110" spans="1:25" s="3" customFormat="1" ht="18" thickBot="1" x14ac:dyDescent="0.35">
      <c r="A110" s="517"/>
      <c r="B110" s="521" t="s">
        <v>52</v>
      </c>
      <c r="C110" s="279">
        <f>'RICE Input'!C108</f>
        <v>10</v>
      </c>
      <c r="D110" s="297" t="s">
        <v>54</v>
      </c>
      <c r="E110" s="759" t="s">
        <v>2</v>
      </c>
      <c r="F110" s="795"/>
      <c r="G110" s="522">
        <f>C108</f>
        <v>100</v>
      </c>
      <c r="H110" s="204" t="s">
        <v>55</v>
      </c>
      <c r="I110" s="196" t="s">
        <v>2</v>
      </c>
      <c r="J110" s="298" t="s">
        <v>156</v>
      </c>
      <c r="K110" s="196" t="s">
        <v>0</v>
      </c>
      <c r="L110" s="279">
        <f>C110*G110/453.6</f>
        <v>2.204585537918871</v>
      </c>
      <c r="M110" s="331" t="s">
        <v>1</v>
      </c>
      <c r="N110" s="435" t="s">
        <v>2</v>
      </c>
      <c r="O110" s="523" t="str">
        <f>'RICE Input'!C106</f>
        <v>0</v>
      </c>
      <c r="P110" s="331" t="s">
        <v>37</v>
      </c>
      <c r="Q110" s="436" t="s">
        <v>2</v>
      </c>
      <c r="R110" s="278" t="s">
        <v>56</v>
      </c>
      <c r="S110" s="196" t="s">
        <v>0</v>
      </c>
      <c r="T110" s="524">
        <f>(L110*O110/2000)*F109</f>
        <v>0</v>
      </c>
      <c r="U110" s="204" t="s">
        <v>220</v>
      </c>
      <c r="V110" s="242"/>
      <c r="W110" s="177"/>
      <c r="X110" s="45"/>
    </row>
    <row r="111" spans="1:25" s="3" customFormat="1" ht="9.9499999999999993" customHeight="1" thickBot="1" x14ac:dyDescent="0.35">
      <c r="A111" s="517"/>
      <c r="B111" s="292"/>
      <c r="C111" s="525"/>
      <c r="D111" s="525"/>
      <c r="E111" s="525"/>
      <c r="F111" s="196"/>
      <c r="G111" s="518"/>
      <c r="H111" s="216"/>
      <c r="I111" s="196"/>
      <c r="J111" s="202"/>
      <c r="K111" s="196"/>
      <c r="L111" s="519"/>
      <c r="M111" s="520"/>
      <c r="N111" s="196"/>
      <c r="O111" s="526"/>
      <c r="P111" s="202"/>
      <c r="Q111" s="196"/>
      <c r="R111" s="196"/>
      <c r="S111" s="196"/>
      <c r="T111" s="527"/>
      <c r="U111" s="216"/>
      <c r="V111" s="216"/>
      <c r="W111" s="177"/>
      <c r="X111" s="45"/>
    </row>
    <row r="112" spans="1:25" s="3" customFormat="1" ht="18" thickBot="1" x14ac:dyDescent="0.35">
      <c r="A112" s="517"/>
      <c r="B112" s="521" t="s">
        <v>38</v>
      </c>
      <c r="C112" s="279">
        <f>'RICE Input'!C109</f>
        <v>5</v>
      </c>
      <c r="D112" s="299" t="s">
        <v>54</v>
      </c>
      <c r="E112" s="759" t="s">
        <v>2</v>
      </c>
      <c r="F112" s="795"/>
      <c r="G112" s="522">
        <f>C108</f>
        <v>100</v>
      </c>
      <c r="H112" s="204" t="s">
        <v>55</v>
      </c>
      <c r="I112" s="196" t="s">
        <v>2</v>
      </c>
      <c r="J112" s="298" t="s">
        <v>156</v>
      </c>
      <c r="K112" s="196" t="s">
        <v>0</v>
      </c>
      <c r="L112" s="279">
        <f>C112*G112/453.6</f>
        <v>1.1022927689594355</v>
      </c>
      <c r="M112" s="300" t="s">
        <v>1</v>
      </c>
      <c r="N112" s="435" t="s">
        <v>2</v>
      </c>
      <c r="O112" s="523" t="str">
        <f>O110</f>
        <v>0</v>
      </c>
      <c r="P112" s="300" t="s">
        <v>37</v>
      </c>
      <c r="Q112" s="436" t="s">
        <v>2</v>
      </c>
      <c r="R112" s="301" t="s">
        <v>56</v>
      </c>
      <c r="S112" s="196" t="s">
        <v>0</v>
      </c>
      <c r="T112" s="524">
        <f>(L112*O112/2000)*I109</f>
        <v>0</v>
      </c>
      <c r="U112" s="216" t="s">
        <v>219</v>
      </c>
      <c r="V112" s="204"/>
      <c r="W112" s="177"/>
      <c r="X112" s="45"/>
    </row>
    <row r="113" spans="1:26" s="3" customFormat="1" ht="9.9499999999999993" customHeight="1" thickBot="1" x14ac:dyDescent="0.35">
      <c r="A113" s="517"/>
      <c r="B113" s="177"/>
      <c r="C113" s="525"/>
      <c r="D113" s="525"/>
      <c r="E113" s="525"/>
      <c r="F113" s="196"/>
      <c r="G113" s="518"/>
      <c r="H113" s="177"/>
      <c r="I113" s="196"/>
      <c r="J113" s="202"/>
      <c r="K113" s="196"/>
      <c r="L113" s="519"/>
      <c r="M113" s="202"/>
      <c r="N113" s="196"/>
      <c r="O113" s="526"/>
      <c r="P113" s="202"/>
      <c r="Q113" s="196"/>
      <c r="R113" s="196"/>
      <c r="S113" s="196"/>
      <c r="T113" s="527"/>
      <c r="U113" s="177"/>
      <c r="V113" s="216"/>
      <c r="W113" s="177"/>
      <c r="X113" s="45"/>
    </row>
    <row r="114" spans="1:26" s="3" customFormat="1" ht="18" thickBot="1" x14ac:dyDescent="0.35">
      <c r="A114" s="517"/>
      <c r="B114" s="521" t="s">
        <v>45</v>
      </c>
      <c r="C114" s="279">
        <f>'RICE Input'!C110</f>
        <v>4</v>
      </c>
      <c r="D114" s="299" t="s">
        <v>54</v>
      </c>
      <c r="E114" s="759" t="s">
        <v>2</v>
      </c>
      <c r="F114" s="795"/>
      <c r="G114" s="522">
        <f>C108</f>
        <v>100</v>
      </c>
      <c r="H114" s="205" t="s">
        <v>55</v>
      </c>
      <c r="I114" s="436" t="s">
        <v>2</v>
      </c>
      <c r="J114" s="298" t="s">
        <v>156</v>
      </c>
      <c r="K114" s="196" t="s">
        <v>0</v>
      </c>
      <c r="L114" s="275">
        <f>C114*G114/453.6</f>
        <v>0.88183421516754845</v>
      </c>
      <c r="M114" s="300" t="s">
        <v>1</v>
      </c>
      <c r="N114" s="435" t="s">
        <v>2</v>
      </c>
      <c r="O114" s="528" t="str">
        <f>O110</f>
        <v>0</v>
      </c>
      <c r="P114" s="300" t="s">
        <v>37</v>
      </c>
      <c r="Q114" s="436" t="s">
        <v>2</v>
      </c>
      <c r="R114" s="278" t="s">
        <v>56</v>
      </c>
      <c r="S114" s="196" t="s">
        <v>0</v>
      </c>
      <c r="T114" s="524">
        <f>(L114*O114/2000)*K109</f>
        <v>0</v>
      </c>
      <c r="U114" s="205" t="s">
        <v>221</v>
      </c>
      <c r="V114" s="205"/>
      <c r="W114" s="207"/>
      <c r="X114" s="45"/>
    </row>
    <row r="115" spans="1:26" s="3" customFormat="1" ht="9.9499999999999993" customHeight="1" thickBot="1" x14ac:dyDescent="0.35">
      <c r="A115" s="529"/>
      <c r="B115" s="254"/>
      <c r="C115" s="254"/>
      <c r="D115" s="254"/>
      <c r="E115" s="254"/>
      <c r="F115" s="254"/>
      <c r="G115" s="507"/>
      <c r="H115" s="254"/>
      <c r="I115" s="254"/>
      <c r="J115" s="441"/>
      <c r="K115" s="254"/>
      <c r="L115" s="446"/>
      <c r="M115" s="339"/>
      <c r="N115" s="339"/>
      <c r="O115" s="530"/>
      <c r="P115" s="339"/>
      <c r="Q115" s="339"/>
      <c r="R115" s="254"/>
      <c r="S115" s="254"/>
      <c r="T115" s="446"/>
      <c r="U115" s="254"/>
      <c r="V115" s="254"/>
      <c r="W115" s="254"/>
      <c r="X115" s="531"/>
      <c r="Y115" s="42"/>
    </row>
    <row r="116" spans="1:26" ht="9.9499999999999993" customHeight="1" thickTop="1" thickBot="1" x14ac:dyDescent="0.35">
      <c r="A116" s="20"/>
      <c r="B116" s="158"/>
      <c r="C116" s="315"/>
      <c r="D116" s="315"/>
      <c r="E116" s="315"/>
      <c r="F116" s="190"/>
      <c r="G116" s="316"/>
      <c r="H116" s="158"/>
      <c r="I116" s="190"/>
      <c r="J116" s="310"/>
      <c r="K116" s="190"/>
      <c r="L116" s="317"/>
      <c r="M116" s="310"/>
      <c r="N116" s="190"/>
      <c r="O116" s="318"/>
      <c r="P116" s="310"/>
      <c r="Q116" s="190"/>
      <c r="R116" s="310"/>
      <c r="S116" s="158"/>
      <c r="T116" s="319"/>
      <c r="U116" s="158"/>
      <c r="V116" s="158"/>
      <c r="W116" s="158"/>
      <c r="X116" s="68"/>
    </row>
    <row r="117" spans="1:26" ht="9.9499999999999993" customHeight="1" thickTop="1" thickBot="1" x14ac:dyDescent="0.35">
      <c r="A117" s="19"/>
      <c r="B117" s="158"/>
      <c r="C117" s="315"/>
      <c r="D117" s="315"/>
      <c r="E117" s="315"/>
      <c r="F117" s="190"/>
      <c r="G117" s="316"/>
      <c r="H117" s="158"/>
      <c r="I117" s="190"/>
      <c r="J117" s="310"/>
      <c r="K117" s="190"/>
      <c r="L117" s="317"/>
      <c r="M117" s="310"/>
      <c r="N117" s="190"/>
      <c r="O117" s="322"/>
      <c r="P117" s="310"/>
      <c r="Q117" s="551"/>
      <c r="R117" s="159"/>
      <c r="S117" s="159"/>
      <c r="T117" s="552"/>
      <c r="U117" s="553"/>
      <c r="V117" s="553"/>
      <c r="W117" s="553"/>
      <c r="X117" s="554"/>
    </row>
    <row r="118" spans="1:26" ht="18" thickBot="1" x14ac:dyDescent="0.35">
      <c r="A118" s="19"/>
      <c r="B118" s="158"/>
      <c r="C118" s="315"/>
      <c r="D118" s="315"/>
      <c r="E118" s="315"/>
      <c r="F118" s="190"/>
      <c r="G118" s="316"/>
      <c r="H118" s="158"/>
      <c r="I118" s="190"/>
      <c r="J118" s="310"/>
      <c r="K118" s="190"/>
      <c r="L118" s="317"/>
      <c r="M118" s="310"/>
      <c r="N118" s="190"/>
      <c r="O118" s="322"/>
      <c r="P118" s="310"/>
      <c r="Q118" s="555"/>
      <c r="R118" s="792" t="s">
        <v>185</v>
      </c>
      <c r="S118" s="556"/>
      <c r="T118" s="323">
        <f>T11+T22+T33+T44+T55+T66+T77+T88+T99+T110</f>
        <v>0</v>
      </c>
      <c r="U118" s="790" t="s">
        <v>220</v>
      </c>
      <c r="V118" s="790"/>
      <c r="W118" s="791"/>
      <c r="X118" s="557"/>
      <c r="Y118" s="23"/>
      <c r="Z118" s="23"/>
    </row>
    <row r="119" spans="1:26" ht="9.9499999999999993" customHeight="1" thickBot="1" x14ac:dyDescent="0.35">
      <c r="A119" s="19"/>
      <c r="B119" s="158"/>
      <c r="C119" s="315"/>
      <c r="D119" s="315"/>
      <c r="E119" s="315"/>
      <c r="F119" s="190"/>
      <c r="G119" s="316"/>
      <c r="H119" s="158"/>
      <c r="I119" s="190"/>
      <c r="J119" s="310"/>
      <c r="K119" s="190"/>
      <c r="L119" s="317"/>
      <c r="M119" s="310"/>
      <c r="N119" s="190"/>
      <c r="O119" s="322"/>
      <c r="P119" s="310"/>
      <c r="Q119" s="555"/>
      <c r="R119" s="793"/>
      <c r="S119" s="198"/>
      <c r="T119" s="558"/>
      <c r="U119" s="559"/>
      <c r="V119" s="559"/>
      <c r="W119" s="559"/>
      <c r="X119" s="560"/>
    </row>
    <row r="120" spans="1:26" ht="18" thickBot="1" x14ac:dyDescent="0.35">
      <c r="A120" s="19"/>
      <c r="B120" s="158"/>
      <c r="C120" s="315"/>
      <c r="D120" s="315"/>
      <c r="E120" s="315"/>
      <c r="F120" s="190"/>
      <c r="G120" s="316"/>
      <c r="H120" s="158"/>
      <c r="I120" s="190"/>
      <c r="J120" s="310"/>
      <c r="K120" s="190"/>
      <c r="L120" s="317"/>
      <c r="M120" s="310"/>
      <c r="N120" s="190"/>
      <c r="O120" s="322"/>
      <c r="P120" s="310"/>
      <c r="Q120" s="555"/>
      <c r="R120" s="793"/>
      <c r="S120" s="198"/>
      <c r="T120" s="324">
        <f>T13+T24+T35+T46+T57+T68+T79+T90+T101+T112</f>
        <v>0</v>
      </c>
      <c r="U120" s="790" t="s">
        <v>219</v>
      </c>
      <c r="V120" s="790"/>
      <c r="W120" s="791"/>
      <c r="X120" s="557"/>
    </row>
    <row r="121" spans="1:26" ht="9.9499999999999993" customHeight="1" thickBot="1" x14ac:dyDescent="0.35">
      <c r="A121" s="19"/>
      <c r="B121" s="158"/>
      <c r="C121" s="315"/>
      <c r="D121" s="315"/>
      <c r="E121" s="315"/>
      <c r="F121" s="198"/>
      <c r="G121" s="316"/>
      <c r="H121" s="158"/>
      <c r="I121" s="190"/>
      <c r="J121" s="310"/>
      <c r="K121" s="190"/>
      <c r="L121" s="317"/>
      <c r="M121" s="310"/>
      <c r="N121" s="190"/>
      <c r="O121" s="322"/>
      <c r="P121" s="310"/>
      <c r="Q121" s="555"/>
      <c r="R121" s="793"/>
      <c r="S121" s="198"/>
      <c r="T121" s="558"/>
      <c r="U121" s="559"/>
      <c r="V121" s="559"/>
      <c r="W121" s="559"/>
      <c r="X121" s="560"/>
    </row>
    <row r="122" spans="1:26" ht="18" thickBot="1" x14ac:dyDescent="0.35">
      <c r="A122" s="19"/>
      <c r="B122" s="158"/>
      <c r="C122" s="315"/>
      <c r="D122" s="315"/>
      <c r="E122" s="315"/>
      <c r="F122" s="190"/>
      <c r="G122" s="316"/>
      <c r="H122" s="158"/>
      <c r="I122" s="190"/>
      <c r="J122" s="310"/>
      <c r="K122" s="190"/>
      <c r="L122" s="317"/>
      <c r="M122" s="310"/>
      <c r="N122" s="190"/>
      <c r="O122" s="322"/>
      <c r="P122" s="310"/>
      <c r="Q122" s="555"/>
      <c r="R122" s="794"/>
      <c r="S122" s="198"/>
      <c r="T122" s="324">
        <f>T15+T26+T37+T48+T59+T70+T81+T92+T103+T114</f>
        <v>0</v>
      </c>
      <c r="U122" s="790" t="s">
        <v>221</v>
      </c>
      <c r="V122" s="790"/>
      <c r="W122" s="791"/>
      <c r="X122" s="557"/>
    </row>
    <row r="123" spans="1:26" ht="9.9499999999999993" customHeight="1" thickBot="1" x14ac:dyDescent="0.35">
      <c r="A123" s="19"/>
      <c r="B123" s="158"/>
      <c r="C123" s="315"/>
      <c r="D123" s="315"/>
      <c r="E123" s="315"/>
      <c r="F123" s="190"/>
      <c r="G123" s="316"/>
      <c r="H123" s="158"/>
      <c r="I123" s="190"/>
      <c r="J123" s="310"/>
      <c r="K123" s="190"/>
      <c r="L123" s="317"/>
      <c r="M123" s="310"/>
      <c r="N123" s="190"/>
      <c r="O123" s="322"/>
      <c r="P123" s="310"/>
      <c r="Q123" s="561"/>
      <c r="R123" s="562"/>
      <c r="S123" s="562"/>
      <c r="T123" s="563"/>
      <c r="U123" s="161"/>
      <c r="V123" s="161"/>
      <c r="W123" s="161"/>
      <c r="X123" s="564"/>
    </row>
    <row r="124" spans="1:26" ht="13.5" thickTop="1" x14ac:dyDescent="0.2">
      <c r="A124" s="1"/>
      <c r="B124" s="1"/>
      <c r="C124" s="332"/>
      <c r="D124" s="332"/>
      <c r="E124" s="332"/>
      <c r="F124" s="333"/>
      <c r="G124" s="334"/>
      <c r="H124" s="1"/>
      <c r="I124" s="333"/>
      <c r="J124" s="335"/>
      <c r="K124" s="333"/>
      <c r="L124" s="336"/>
      <c r="M124" s="335"/>
      <c r="N124" s="333"/>
      <c r="O124" s="337"/>
      <c r="P124" s="335"/>
      <c r="Q124" s="333"/>
      <c r="R124" s="335"/>
      <c r="S124" s="1"/>
      <c r="T124" s="338"/>
      <c r="U124" s="1"/>
      <c r="V124" s="1"/>
      <c r="W124" s="1"/>
      <c r="X124" s="1"/>
      <c r="Y124" s="1"/>
      <c r="Z124" s="1"/>
    </row>
    <row r="125" spans="1:26" x14ac:dyDescent="0.2">
      <c r="A125" s="1"/>
      <c r="B125" s="1"/>
      <c r="C125" s="332"/>
      <c r="D125" s="332"/>
      <c r="E125" s="332"/>
      <c r="F125" s="333"/>
      <c r="G125" s="334"/>
      <c r="H125" s="1"/>
      <c r="I125" s="333"/>
      <c r="J125" s="335"/>
      <c r="K125" s="333"/>
      <c r="L125" s="336"/>
      <c r="M125" s="335"/>
      <c r="N125" s="333"/>
      <c r="O125" s="337"/>
      <c r="P125" s="335"/>
      <c r="Q125" s="333"/>
      <c r="R125" s="335"/>
      <c r="S125" s="1"/>
      <c r="T125" s="338"/>
      <c r="U125" s="1"/>
      <c r="V125" s="1"/>
      <c r="W125" s="1"/>
      <c r="X125" s="1"/>
      <c r="Y125" s="1"/>
      <c r="Z125" s="1"/>
    </row>
    <row r="126" spans="1:26" x14ac:dyDescent="0.2">
      <c r="A126" s="1"/>
      <c r="B126" s="1"/>
      <c r="C126" s="332"/>
      <c r="D126" s="332"/>
      <c r="E126" s="332"/>
      <c r="F126" s="333"/>
      <c r="G126" s="334"/>
      <c r="H126" s="1"/>
      <c r="I126" s="333"/>
      <c r="J126" s="335"/>
      <c r="K126" s="333"/>
      <c r="L126" s="336"/>
      <c r="M126" s="335"/>
      <c r="N126" s="333"/>
      <c r="O126" s="337"/>
      <c r="P126" s="335"/>
      <c r="Q126" s="333"/>
      <c r="R126" s="335"/>
      <c r="S126" s="1"/>
      <c r="T126" s="338"/>
      <c r="U126" s="1"/>
      <c r="V126" s="1"/>
      <c r="W126" s="1"/>
      <c r="X126" s="1"/>
      <c r="Y126" s="1"/>
      <c r="Z126" s="1"/>
    </row>
    <row r="127" spans="1:26" x14ac:dyDescent="0.2">
      <c r="A127" s="1"/>
      <c r="B127" s="1"/>
      <c r="C127" s="332"/>
      <c r="D127" s="332"/>
      <c r="E127" s="332"/>
      <c r="F127" s="333"/>
      <c r="G127" s="334"/>
      <c r="H127" s="1"/>
      <c r="I127" s="333"/>
      <c r="J127" s="335"/>
      <c r="K127" s="333"/>
      <c r="L127" s="336"/>
      <c r="M127" s="335"/>
      <c r="N127" s="333"/>
      <c r="O127" s="337"/>
      <c r="P127" s="335"/>
      <c r="Q127" s="333"/>
      <c r="R127" s="335"/>
      <c r="S127" s="1"/>
      <c r="T127" s="338"/>
      <c r="U127" s="1"/>
      <c r="V127" s="1"/>
      <c r="W127" s="1"/>
      <c r="X127" s="1"/>
      <c r="Y127" s="1"/>
      <c r="Z127" s="1"/>
    </row>
    <row r="128" spans="1:26" x14ac:dyDescent="0.2">
      <c r="A128" s="1"/>
      <c r="B128" s="1"/>
      <c r="C128" s="332"/>
      <c r="D128" s="332"/>
      <c r="E128" s="332"/>
      <c r="F128" s="333"/>
      <c r="G128" s="334"/>
      <c r="H128" s="1"/>
      <c r="I128" s="333"/>
      <c r="J128" s="335"/>
      <c r="K128" s="333"/>
      <c r="L128" s="336"/>
      <c r="M128" s="335"/>
      <c r="N128" s="333"/>
      <c r="O128" s="337"/>
      <c r="P128" s="335"/>
      <c r="Q128" s="333"/>
      <c r="R128" s="335"/>
      <c r="S128" s="1"/>
      <c r="T128" s="338"/>
      <c r="U128" s="1"/>
      <c r="V128" s="1"/>
      <c r="W128" s="1"/>
      <c r="X128" s="1"/>
      <c r="Y128" s="1"/>
      <c r="Z128" s="1"/>
    </row>
    <row r="129" spans="1:26" x14ac:dyDescent="0.2">
      <c r="A129" s="1"/>
      <c r="B129" s="1"/>
      <c r="C129" s="332"/>
      <c r="D129" s="332"/>
      <c r="E129" s="332"/>
      <c r="F129" s="333"/>
      <c r="G129" s="334"/>
      <c r="H129" s="1"/>
      <c r="I129" s="333"/>
      <c r="J129" s="335"/>
      <c r="K129" s="333"/>
      <c r="L129" s="336"/>
      <c r="M129" s="335"/>
      <c r="N129" s="333"/>
      <c r="O129" s="337"/>
      <c r="P129" s="335"/>
      <c r="Q129" s="333"/>
      <c r="R129" s="335"/>
      <c r="S129" s="1"/>
      <c r="T129" s="338"/>
      <c r="U129" s="1"/>
      <c r="V129" s="1"/>
      <c r="W129" s="1"/>
      <c r="X129" s="1"/>
      <c r="Y129" s="1"/>
      <c r="Z129" s="1"/>
    </row>
    <row r="130" spans="1:26" x14ac:dyDescent="0.2">
      <c r="A130" s="1"/>
      <c r="B130" s="1"/>
      <c r="C130" s="332"/>
      <c r="D130" s="332"/>
      <c r="E130" s="332"/>
      <c r="F130" s="333"/>
      <c r="G130" s="334"/>
      <c r="H130" s="1"/>
      <c r="I130" s="333"/>
      <c r="J130" s="335"/>
      <c r="K130" s="333"/>
      <c r="L130" s="336"/>
      <c r="M130" s="335"/>
      <c r="N130" s="333"/>
      <c r="O130" s="337"/>
      <c r="P130" s="335"/>
      <c r="Q130" s="333"/>
      <c r="R130" s="335"/>
      <c r="S130" s="1"/>
      <c r="T130" s="338"/>
      <c r="U130" s="1"/>
      <c r="V130" s="1"/>
      <c r="W130" s="1"/>
      <c r="X130" s="1"/>
      <c r="Y130" s="1"/>
      <c r="Z130" s="1"/>
    </row>
    <row r="131" spans="1:26" x14ac:dyDescent="0.2">
      <c r="A131" s="1"/>
      <c r="B131" s="1"/>
      <c r="C131" s="332"/>
      <c r="D131" s="332"/>
      <c r="E131" s="332"/>
      <c r="F131" s="333"/>
      <c r="G131" s="334"/>
      <c r="H131" s="1"/>
      <c r="I131" s="333"/>
      <c r="J131" s="335"/>
      <c r="K131" s="333"/>
      <c r="L131" s="336"/>
      <c r="M131" s="335"/>
      <c r="N131" s="333"/>
      <c r="O131" s="337"/>
      <c r="P131" s="335"/>
      <c r="Q131" s="333"/>
      <c r="R131" s="335"/>
      <c r="S131" s="1"/>
      <c r="T131" s="338"/>
      <c r="U131" s="1"/>
      <c r="V131" s="1"/>
      <c r="W131" s="1"/>
      <c r="X131" s="1"/>
      <c r="Y131" s="1"/>
      <c r="Z131" s="1"/>
    </row>
    <row r="132" spans="1:26" x14ac:dyDescent="0.2">
      <c r="A132" s="1"/>
      <c r="B132" s="1"/>
      <c r="C132" s="332"/>
      <c r="D132" s="332"/>
      <c r="E132" s="332"/>
      <c r="F132" s="333"/>
      <c r="G132" s="334"/>
      <c r="H132" s="1"/>
      <c r="I132" s="333"/>
      <c r="J132" s="335"/>
      <c r="K132" s="333"/>
      <c r="L132" s="336"/>
      <c r="M132" s="335"/>
      <c r="N132" s="333"/>
      <c r="O132" s="337"/>
      <c r="P132" s="335"/>
      <c r="Q132" s="333"/>
      <c r="R132" s="335"/>
      <c r="S132" s="1"/>
      <c r="T132" s="338"/>
      <c r="U132" s="1"/>
      <c r="V132" s="1"/>
      <c r="W132" s="1"/>
      <c r="X132" s="1"/>
      <c r="Y132" s="1"/>
      <c r="Z132" s="1"/>
    </row>
    <row r="133" spans="1:26" x14ac:dyDescent="0.2">
      <c r="A133" s="1"/>
      <c r="B133" s="1"/>
      <c r="C133" s="332"/>
      <c r="D133" s="332"/>
      <c r="E133" s="332"/>
      <c r="F133" s="333"/>
      <c r="G133" s="334"/>
      <c r="H133" s="1"/>
      <c r="I133" s="333"/>
      <c r="J133" s="335"/>
      <c r="K133" s="333"/>
      <c r="L133" s="336"/>
      <c r="M133" s="335"/>
      <c r="N133" s="333"/>
      <c r="O133" s="337"/>
      <c r="P133" s="335"/>
      <c r="Q133" s="333"/>
      <c r="R133" s="335"/>
      <c r="S133" s="1"/>
      <c r="T133" s="338"/>
      <c r="U133" s="1"/>
      <c r="V133" s="1"/>
      <c r="W133" s="1"/>
      <c r="X133" s="1"/>
      <c r="Y133" s="1"/>
      <c r="Z133" s="1"/>
    </row>
  </sheetData>
  <sheetProtection selectLockedCells="1"/>
  <mergeCells count="59">
    <mergeCell ref="B29:C29"/>
    <mergeCell ref="Q43:V43"/>
    <mergeCell ref="E44:F44"/>
    <mergeCell ref="E46:F46"/>
    <mergeCell ref="E48:F48"/>
    <mergeCell ref="Q53:T53"/>
    <mergeCell ref="Q32:V32"/>
    <mergeCell ref="E33:F33"/>
    <mergeCell ref="E35:F35"/>
    <mergeCell ref="E37:F37"/>
    <mergeCell ref="Q42:T42"/>
    <mergeCell ref="G20:H20"/>
    <mergeCell ref="E22:F22"/>
    <mergeCell ref="E24:F24"/>
    <mergeCell ref="E26:F26"/>
    <mergeCell ref="Q31:T31"/>
    <mergeCell ref="Q21:V21"/>
    <mergeCell ref="E13:F13"/>
    <mergeCell ref="E15:F15"/>
    <mergeCell ref="B18:C18"/>
    <mergeCell ref="C2:V2"/>
    <mergeCell ref="C4:V4"/>
    <mergeCell ref="Q9:T9"/>
    <mergeCell ref="Q10:V10"/>
    <mergeCell ref="E11:F11"/>
    <mergeCell ref="B17:W17"/>
    <mergeCell ref="Q54:V54"/>
    <mergeCell ref="E55:F55"/>
    <mergeCell ref="E57:F57"/>
    <mergeCell ref="E59:F59"/>
    <mergeCell ref="Q64:T64"/>
    <mergeCell ref="Q65:V65"/>
    <mergeCell ref="E66:F66"/>
    <mergeCell ref="E68:F68"/>
    <mergeCell ref="E70:F70"/>
    <mergeCell ref="Q75:T75"/>
    <mergeCell ref="Q76:V76"/>
    <mergeCell ref="E77:F77"/>
    <mergeCell ref="E79:F79"/>
    <mergeCell ref="E81:F81"/>
    <mergeCell ref="Q86:T86"/>
    <mergeCell ref="Q87:V87"/>
    <mergeCell ref="E88:F88"/>
    <mergeCell ref="E90:F90"/>
    <mergeCell ref="E92:F92"/>
    <mergeCell ref="Q97:T97"/>
    <mergeCell ref="Q98:V98"/>
    <mergeCell ref="E99:F99"/>
    <mergeCell ref="E101:F101"/>
    <mergeCell ref="E103:F103"/>
    <mergeCell ref="Q108:T108"/>
    <mergeCell ref="U120:W120"/>
    <mergeCell ref="U122:W122"/>
    <mergeCell ref="R118:R122"/>
    <mergeCell ref="Q109:V109"/>
    <mergeCell ref="E110:F110"/>
    <mergeCell ref="E112:F112"/>
    <mergeCell ref="E114:F114"/>
    <mergeCell ref="U118:W118"/>
  </mergeCells>
  <phoneticPr fontId="0" type="noConversion"/>
  <printOptions horizontalCentered="1"/>
  <pageMargins left="0.25" right="0.25" top="0.75" bottom="0.75" header="0.3" footer="0.3"/>
  <pageSetup scale="59" fitToHeight="2" orientation="landscape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16</vt:i4>
      </vt:variant>
    </vt:vector>
  </HeadingPairs>
  <TitlesOfParts>
    <vt:vector size="28" baseType="lpstr">
      <vt:lpstr>SFN14334</vt:lpstr>
      <vt:lpstr>Input</vt:lpstr>
      <vt:lpstr>RICE Input</vt:lpstr>
      <vt:lpstr>Emission Summary</vt:lpstr>
      <vt:lpstr>OilCondensate Tanks</vt:lpstr>
      <vt:lpstr>Treater Flare</vt:lpstr>
      <vt:lpstr>Treater Burner</vt:lpstr>
      <vt:lpstr>Truck Loading</vt:lpstr>
      <vt:lpstr>RICE Engine</vt:lpstr>
      <vt:lpstr>Pneumatic Pump</vt:lpstr>
      <vt:lpstr>Pneumatic Controllers</vt:lpstr>
      <vt:lpstr>Drop Down Lists</vt:lpstr>
      <vt:lpstr>Flash_Calculation_Method</vt:lpstr>
      <vt:lpstr>ModeofOperation</vt:lpstr>
      <vt:lpstr>Oil_Sales_Method</vt:lpstr>
      <vt:lpstr>'Emission Summary'!Print_Area</vt:lpstr>
      <vt:lpstr>Input!Print_Area</vt:lpstr>
      <vt:lpstr>'OilCondensate Tanks'!Print_Area</vt:lpstr>
      <vt:lpstr>'Pneumatic Controllers'!Print_Area</vt:lpstr>
      <vt:lpstr>'Pneumatic Pump'!Print_Area</vt:lpstr>
      <vt:lpstr>'RICE Engine'!Print_Area</vt:lpstr>
      <vt:lpstr>'RICE Input'!Print_Area</vt:lpstr>
      <vt:lpstr>'Treater Burner'!Print_Area</vt:lpstr>
      <vt:lpstr>'Treater Flare'!Print_Area</vt:lpstr>
      <vt:lpstr>'Truck Loading'!Print_Area</vt:lpstr>
      <vt:lpstr>Tank_Vapor_Control</vt:lpstr>
      <vt:lpstr>Trace_Pump_Emission_Control</vt:lpstr>
      <vt:lpstr>Treater_Gas_Controls</vt:lpstr>
    </vt:vector>
  </TitlesOfParts>
  <Company>EOG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lheydt</dc:creator>
  <cp:lastModifiedBy>Nicole Rivinius</cp:lastModifiedBy>
  <cp:lastPrinted>2020-07-02T14:35:42Z</cp:lastPrinted>
  <dcterms:created xsi:type="dcterms:W3CDTF">2003-03-10T17:01:35Z</dcterms:created>
  <dcterms:modified xsi:type="dcterms:W3CDTF">2020-07-02T14:55:22Z</dcterms:modified>
</cp:coreProperties>
</file>